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Messemer\Documents\aktuelle Projekte\brotkruemel_de\"/>
    </mc:Choice>
  </mc:AlternateContent>
  <bookViews>
    <workbookView xWindow="6180" yWindow="120" windowWidth="12135" windowHeight="12045" tabRatio="639"/>
  </bookViews>
  <sheets>
    <sheet name="Sauerteig-Rechner" sheetId="10" r:id="rId1"/>
  </sheets>
  <definedNames>
    <definedName name="_xlnm._FilterDatabase" localSheetId="0" hidden="1">'Sauerteig-Rechner'!$A$16:$A$156</definedName>
    <definedName name="arrRSAUERFÜHRUNG">'Sauerteig-Rechner'!$AA$4:$AB$12</definedName>
    <definedName name="arrSAUERta">'Sauerteig-Rechner'!$AC$4:$AD$12</definedName>
    <definedName name="_xlnm.Print_Area" localSheetId="0">'Sauerteig-Rechner'!$B$4:$R$159</definedName>
    <definedName name="RSA_TA_nachführung">'Sauerteig-Rechner'!$AG$5</definedName>
    <definedName name="RSAnachführung">'Sauerteig-Rechner'!$AG$1</definedName>
    <definedName name="SAUERKÜRZEL">'Sauerteig-Rechner'!$T$7</definedName>
    <definedName name="SäuregradedesSauers">'Sauerteig-Rechner'!$AK$10</definedName>
    <definedName name="SRjeKGmehl">'Sauerteig-Rechner'!$AI$9</definedName>
    <definedName name="TAdesSauers">'Sauerteig-Rechner'!$AK$11</definedName>
  </definedNames>
  <calcPr calcId="152511"/>
</workbook>
</file>

<file path=xl/calcChain.xml><?xml version="1.0" encoding="utf-8"?>
<calcChain xmlns="http://schemas.openxmlformats.org/spreadsheetml/2006/main">
  <c r="O131" i="10" l="1"/>
  <c r="L119" i="10"/>
  <c r="N118" i="10"/>
  <c r="F86" i="10"/>
  <c r="G86" i="10" s="1"/>
  <c r="N86" i="10" s="1"/>
  <c r="AB4" i="10"/>
  <c r="AB1" i="10"/>
  <c r="AU1" i="10"/>
  <c r="AV1" i="10" s="1"/>
  <c r="BA1" i="10"/>
  <c r="AH96" i="10" s="1"/>
  <c r="AR5" i="10"/>
  <c r="AF113" i="10" s="1"/>
  <c r="AG113" i="10" s="1"/>
  <c r="AU6" i="10"/>
  <c r="J129" i="10" s="1"/>
  <c r="AB7" i="10"/>
  <c r="Z4" i="10" s="1"/>
  <c r="T7" i="10" s="1"/>
  <c r="A91" i="10" s="1"/>
  <c r="AI52" i="10"/>
  <c r="AI82" i="10"/>
  <c r="AJ82" i="10" s="1"/>
  <c r="AK82" i="10" s="1"/>
  <c r="AI96" i="10"/>
  <c r="AI104" i="10"/>
  <c r="AI146" i="10"/>
  <c r="E14" i="10"/>
  <c r="AI127" i="10"/>
  <c r="AI20" i="10"/>
  <c r="AJ20" i="10" s="1"/>
  <c r="AK20" i="10" s="1"/>
  <c r="G26" i="10"/>
  <c r="X26" i="10" s="1"/>
  <c r="F24" i="10"/>
  <c r="G24" i="10" s="1"/>
  <c r="G22" i="10"/>
  <c r="X22" i="10" s="1"/>
  <c r="F26" i="10"/>
  <c r="AI36" i="10"/>
  <c r="AJ36" i="10" s="1"/>
  <c r="AK36" i="10" s="1"/>
  <c r="G42" i="10"/>
  <c r="X42" i="10" s="1"/>
  <c r="G40" i="10"/>
  <c r="X40" i="10" s="1"/>
  <c r="G38" i="10"/>
  <c r="N38" i="10" s="1"/>
  <c r="F40" i="10"/>
  <c r="F42" i="10"/>
  <c r="E46" i="10"/>
  <c r="G54" i="10"/>
  <c r="X52" i="10" s="1"/>
  <c r="N54" i="10"/>
  <c r="X54" i="10"/>
  <c r="F56" i="10"/>
  <c r="G56" i="10" s="1"/>
  <c r="X56" i="10"/>
  <c r="F58" i="10"/>
  <c r="G58" i="10" s="1"/>
  <c r="N58" i="10"/>
  <c r="AI68" i="10"/>
  <c r="AJ68" i="10" s="1"/>
  <c r="X68" i="10"/>
  <c r="G70" i="10"/>
  <c r="N72" i="10" s="1"/>
  <c r="F72" i="10"/>
  <c r="G72" i="10" s="1"/>
  <c r="G84" i="10"/>
  <c r="X84" i="10" s="1"/>
  <c r="C98" i="10"/>
  <c r="N98" i="10"/>
  <c r="C106" i="10"/>
  <c r="N106" i="10"/>
  <c r="AI113" i="10"/>
  <c r="AJ113" i="10" s="1"/>
  <c r="AK113" i="10" s="1"/>
  <c r="M117" i="10"/>
  <c r="F123" i="10"/>
  <c r="G123" i="10"/>
  <c r="H123" i="10"/>
  <c r="E151" i="10"/>
  <c r="G151" i="10" s="1"/>
  <c r="W151" i="10" s="1"/>
  <c r="F152" i="10"/>
  <c r="E76" i="10" l="1"/>
  <c r="E30" i="10"/>
  <c r="E90" i="10"/>
  <c r="N22" i="10"/>
  <c r="AJ96" i="10"/>
  <c r="AK96" i="10" s="1"/>
  <c r="N40" i="10"/>
  <c r="X70" i="10"/>
  <c r="A76" i="10"/>
  <c r="A142" i="10"/>
  <c r="A107" i="10"/>
  <c r="A67" i="10"/>
  <c r="A117" i="10"/>
  <c r="A131" i="10"/>
  <c r="A25" i="10"/>
  <c r="A72" i="10"/>
  <c r="A101" i="10"/>
  <c r="A124" i="10"/>
  <c r="A154" i="10"/>
  <c r="A18" i="10"/>
  <c r="A33" i="10"/>
  <c r="A79" i="10"/>
  <c r="A156" i="10"/>
  <c r="A20" i="10"/>
  <c r="U28" i="10" s="1"/>
  <c r="T28" i="10" s="1"/>
  <c r="A19" i="10"/>
  <c r="A35" i="10"/>
  <c r="A73" i="10"/>
  <c r="A128" i="10"/>
  <c r="A49" i="10"/>
  <c r="A141" i="10"/>
  <c r="A50" i="10"/>
  <c r="A103" i="10"/>
  <c r="U107" i="10" s="1"/>
  <c r="T107" i="10" s="1"/>
  <c r="A17" i="10"/>
  <c r="A26" i="10"/>
  <c r="A32" i="10"/>
  <c r="A37" i="10"/>
  <c r="A45" i="10"/>
  <c r="A59" i="10"/>
  <c r="A78" i="10"/>
  <c r="A86" i="10"/>
  <c r="A94" i="10"/>
  <c r="A102" i="10"/>
  <c r="A119" i="10"/>
  <c r="A126" i="10"/>
  <c r="A135" i="10"/>
  <c r="A155" i="10"/>
  <c r="A21" i="10"/>
  <c r="A113" i="10"/>
  <c r="A120" i="10"/>
  <c r="A137" i="10"/>
  <c r="A147" i="10"/>
  <c r="A69" i="10"/>
  <c r="A105" i="10"/>
  <c r="A138" i="10"/>
  <c r="A27" i="10"/>
  <c r="A54" i="10"/>
  <c r="A70" i="10"/>
  <c r="A82" i="10"/>
  <c r="A98" i="10"/>
  <c r="A114" i="10"/>
  <c r="A123" i="10"/>
  <c r="A129" i="10"/>
  <c r="A139" i="10"/>
  <c r="A150" i="10"/>
  <c r="A75" i="10"/>
  <c r="A89" i="10"/>
  <c r="A24" i="10"/>
  <c r="A30" i="10"/>
  <c r="A51" i="10"/>
  <c r="A55" i="10"/>
  <c r="A68" i="10"/>
  <c r="A71" i="10"/>
  <c r="A92" i="10"/>
  <c r="A100" i="10"/>
  <c r="A109" i="10"/>
  <c r="A133" i="10"/>
  <c r="A143" i="10"/>
  <c r="A43" i="10"/>
  <c r="A56" i="10"/>
  <c r="A77" i="10"/>
  <c r="A85" i="10"/>
  <c r="A93" i="10"/>
  <c r="A110" i="10"/>
  <c r="A118" i="10"/>
  <c r="A134" i="10"/>
  <c r="A146" i="10"/>
  <c r="A46" i="10"/>
  <c r="A61" i="10"/>
  <c r="A127" i="10"/>
  <c r="A39" i="10"/>
  <c r="A53" i="10"/>
  <c r="A62" i="10"/>
  <c r="A81" i="10"/>
  <c r="A122" i="10"/>
  <c r="A48" i="10"/>
  <c r="A57" i="10"/>
  <c r="A63" i="10"/>
  <c r="A74" i="10"/>
  <c r="A87" i="10"/>
  <c r="A80" i="10"/>
  <c r="A28" i="10"/>
  <c r="A58" i="10"/>
  <c r="A65" i="10"/>
  <c r="A116" i="10"/>
  <c r="A29" i="10"/>
  <c r="A42" i="10"/>
  <c r="A151" i="10"/>
  <c r="I26" i="10"/>
  <c r="I56" i="10"/>
  <c r="I84" i="10"/>
  <c r="I24" i="10"/>
  <c r="I22" i="10"/>
  <c r="E62" i="10"/>
  <c r="E150" i="10"/>
  <c r="G150" i="10" s="1"/>
  <c r="W150" i="10" s="1"/>
  <c r="M70" i="10"/>
  <c r="M150" i="10"/>
  <c r="L153" i="10" s="1"/>
  <c r="M84" i="10"/>
  <c r="K114" i="10"/>
  <c r="M42" i="10"/>
  <c r="M24" i="10"/>
  <c r="I106" i="10"/>
  <c r="X86" i="10"/>
  <c r="X38" i="10"/>
  <c r="N42" i="10"/>
  <c r="D114" i="10"/>
  <c r="AF82" i="10"/>
  <c r="AG82" i="10" s="1"/>
  <c r="J82" i="10" s="1"/>
  <c r="AF146" i="10"/>
  <c r="AG146" i="10" s="1"/>
  <c r="AF96" i="10"/>
  <c r="AG96" i="10" s="1"/>
  <c r="AF36" i="10"/>
  <c r="AG36" i="10" s="1"/>
  <c r="Y42" i="10" s="1"/>
  <c r="AF68" i="10"/>
  <c r="AG68" i="10" s="1"/>
  <c r="J68" i="10" s="1"/>
  <c r="AF20" i="10"/>
  <c r="AG20" i="10" s="1"/>
  <c r="Y26" i="10" s="1"/>
  <c r="AF127" i="10"/>
  <c r="AF104" i="10"/>
  <c r="AG104" i="10" s="1"/>
  <c r="AF52" i="10"/>
  <c r="AG52" i="10" s="1"/>
  <c r="X24" i="10"/>
  <c r="N24" i="10"/>
  <c r="I58" i="10"/>
  <c r="I38" i="10"/>
  <c r="I72" i="10"/>
  <c r="AK68" i="10"/>
  <c r="A144" i="10"/>
  <c r="A112" i="10"/>
  <c r="I42" i="10"/>
  <c r="I86" i="10"/>
  <c r="A153" i="10"/>
  <c r="I151" i="10"/>
  <c r="AH146" i="10" s="1"/>
  <c r="AJ146" i="10" s="1"/>
  <c r="AK146" i="10" s="1"/>
  <c r="I150" i="10"/>
  <c r="F151" i="10"/>
  <c r="A140" i="10"/>
  <c r="A132" i="10"/>
  <c r="AH127" i="10"/>
  <c r="A108" i="10"/>
  <c r="A104" i="10"/>
  <c r="A97" i="10"/>
  <c r="A90" i="10"/>
  <c r="A84" i="10"/>
  <c r="I70" i="10"/>
  <c r="A60" i="10"/>
  <c r="A44" i="10"/>
  <c r="A38" i="10"/>
  <c r="A34" i="10"/>
  <c r="AJ52" i="10"/>
  <c r="AK52" i="10" s="1"/>
  <c r="AH104" i="10"/>
  <c r="AJ104" i="10" s="1"/>
  <c r="AK104" i="10" s="1"/>
  <c r="I40" i="10"/>
  <c r="I98" i="10"/>
  <c r="M58" i="10"/>
  <c r="A52" i="10"/>
  <c r="A66" i="10"/>
  <c r="A22" i="10"/>
  <c r="A40" i="10"/>
  <c r="A64" i="10"/>
  <c r="A83" i="10"/>
  <c r="A88" i="10"/>
  <c r="A96" i="10"/>
  <c r="A99" i="10"/>
  <c r="A106" i="10"/>
  <c r="A111" i="10"/>
  <c r="A115" i="10"/>
  <c r="A121" i="10"/>
  <c r="A125" i="10"/>
  <c r="A130" i="10"/>
  <c r="A136" i="10"/>
  <c r="A145" i="10"/>
  <c r="A148" i="10"/>
  <c r="A149" i="10"/>
  <c r="A152" i="10"/>
  <c r="A31" i="10"/>
  <c r="A47" i="10"/>
  <c r="A36" i="10"/>
  <c r="U44" i="10" s="1"/>
  <c r="T44" i="10" s="1"/>
  <c r="A95" i="10"/>
  <c r="A23" i="10"/>
  <c r="A41" i="10"/>
  <c r="U99" i="10" l="1"/>
  <c r="T99" i="10" s="1"/>
  <c r="F150" i="10"/>
  <c r="E149" i="10"/>
  <c r="G149" i="10" s="1"/>
  <c r="W149" i="10" s="1"/>
  <c r="I115" i="10"/>
  <c r="T115" i="10" s="1"/>
  <c r="U115" i="10"/>
  <c r="AA68" i="10"/>
  <c r="K70" i="10"/>
  <c r="G106" i="10"/>
  <c r="E106" i="10" s="1"/>
  <c r="K106" i="10"/>
  <c r="Z42" i="10"/>
  <c r="J42" i="10" s="1"/>
  <c r="Y40" i="10"/>
  <c r="K42" i="10" s="1"/>
  <c r="G98" i="10"/>
  <c r="E98" i="10" s="1"/>
  <c r="K98" i="10"/>
  <c r="AJ127" i="10"/>
  <c r="H135" i="10"/>
  <c r="AG127" i="10"/>
  <c r="AA84" i="10"/>
  <c r="K84" i="10"/>
  <c r="Y24" i="10"/>
  <c r="K26" i="10" s="1"/>
  <c r="Z26" i="10"/>
  <c r="J26" i="10" s="1"/>
  <c r="L152" i="10"/>
  <c r="T152" i="10" s="1"/>
  <c r="M152" i="10"/>
  <c r="J146" i="10"/>
  <c r="AA64" i="10"/>
  <c r="AM113" i="10"/>
  <c r="H114" i="10" s="1"/>
  <c r="AN113" i="10" l="1"/>
  <c r="N114" i="10" s="1"/>
  <c r="U74" i="10"/>
  <c r="T74" i="10" s="1"/>
  <c r="E148" i="10"/>
  <c r="F149" i="10"/>
  <c r="AK128" i="10"/>
  <c r="AK127" i="10"/>
  <c r="Y52" i="10"/>
  <c r="J54" i="10"/>
  <c r="Z147" i="10"/>
  <c r="K147" i="10"/>
  <c r="L147" i="10"/>
  <c r="L148" i="10" s="1"/>
  <c r="L149" i="10" s="1"/>
  <c r="Y84" i="10"/>
  <c r="U88" i="10"/>
  <c r="T88" i="10" s="1"/>
  <c r="Y68" i="10"/>
  <c r="D129" i="10"/>
  <c r="Y38" i="10"/>
  <c r="K40" i="10" s="1"/>
  <c r="Z40" i="10"/>
  <c r="J40" i="10" s="1"/>
  <c r="AA42" i="10" s="1"/>
  <c r="Z24" i="10"/>
  <c r="Y22" i="10"/>
  <c r="K24" i="10" s="1"/>
  <c r="AL113" i="10" l="1"/>
  <c r="F148" i="10"/>
  <c r="F147" i="10"/>
  <c r="G147" i="10" s="1"/>
  <c r="W147" i="10" s="1"/>
  <c r="G148" i="10"/>
  <c r="W148" i="10" s="1"/>
  <c r="L42" i="10"/>
  <c r="Z52" i="10"/>
  <c r="L54" i="10" s="1"/>
  <c r="K54" i="10"/>
  <c r="X147" i="10"/>
  <c r="K148" i="10"/>
  <c r="K149" i="10" s="1"/>
  <c r="J70" i="10"/>
  <c r="L70" i="10" s="1"/>
  <c r="K38" i="10"/>
  <c r="J36" i="10" s="1"/>
  <c r="AA38" i="10" s="1"/>
  <c r="Z38" i="10"/>
  <c r="L38" i="10" s="1"/>
  <c r="J84" i="10"/>
  <c r="L84" i="10" s="1"/>
  <c r="L26" i="10"/>
  <c r="K22" i="10"/>
  <c r="J20" i="10" s="1"/>
  <c r="AA22" i="10" s="1"/>
  <c r="Z22" i="10"/>
  <c r="L22" i="10" s="1"/>
  <c r="J24" i="10"/>
  <c r="AA26" i="10" s="1"/>
  <c r="AM127" i="10"/>
  <c r="G129" i="10" s="1"/>
  <c r="AN127" i="10" l="1"/>
  <c r="L40" i="10"/>
  <c r="AA52" i="10"/>
  <c r="K56" i="10" s="1"/>
  <c r="Y54" i="10" s="1"/>
  <c r="J38" i="10"/>
  <c r="AA40" i="10" s="1"/>
  <c r="L24" i="10"/>
  <c r="Z68" i="10"/>
  <c r="K72" i="10" s="1"/>
  <c r="Y70" i="10" s="1"/>
  <c r="AA70" i="10"/>
  <c r="Z84" i="10"/>
  <c r="K86" i="10" s="1"/>
  <c r="Y86" i="10" s="1"/>
  <c r="AA86" i="10"/>
  <c r="AN128" i="10"/>
  <c r="N129" i="10" s="1"/>
  <c r="Y147" i="10"/>
  <c r="X148" i="10"/>
  <c r="J147" i="10"/>
  <c r="Z148" i="10" s="1"/>
  <c r="J22" i="10"/>
  <c r="AA24" i="10" s="1"/>
  <c r="L129" i="10" l="1"/>
  <c r="U130" i="10"/>
  <c r="T130" i="10"/>
  <c r="AL127" i="10"/>
  <c r="J56" i="10"/>
  <c r="J86" i="10"/>
  <c r="Z86" i="10"/>
  <c r="Z54" i="10"/>
  <c r="L56" i="10" s="1"/>
  <c r="K58" i="10"/>
  <c r="Y148" i="10"/>
  <c r="J148" i="10" s="1"/>
  <c r="Z149" i="10" s="1"/>
  <c r="X149" i="10"/>
  <c r="Z70" i="10"/>
  <c r="J72" i="10"/>
  <c r="Y56" i="10" l="1"/>
  <c r="U60" i="10"/>
  <c r="T60" i="10" s="1"/>
  <c r="T15" i="10" s="1"/>
  <c r="I13" i="10" s="1"/>
  <c r="L72" i="10"/>
  <c r="AA54" i="10"/>
  <c r="J58" i="10" s="1"/>
  <c r="L86" i="10"/>
  <c r="Y149" i="10"/>
  <c r="J149" i="10" s="1"/>
  <c r="Z56" i="10" l="1"/>
  <c r="AA56" i="10" s="1"/>
  <c r="Z150" i="10"/>
  <c r="J150" i="10"/>
  <c r="L58" i="10" l="1"/>
  <c r="X150" i="10"/>
  <c r="X151" i="10" s="1"/>
  <c r="Z151" i="10"/>
  <c r="K151" i="10" l="1"/>
  <c r="Y151" i="10"/>
  <c r="K150" i="10"/>
  <c r="Y150" i="10"/>
  <c r="L150" i="10" s="1"/>
  <c r="L151" i="10" l="1"/>
  <c r="J151" i="10"/>
</calcChain>
</file>

<file path=xl/sharedStrings.xml><?xml version="1.0" encoding="utf-8"?>
<sst xmlns="http://schemas.openxmlformats.org/spreadsheetml/2006/main" count="243" uniqueCount="111">
  <si>
    <t>DETMOLDER ZWEISTUFENFÜHRUNG   VOLLSAUERREIFEZEIT 2 1/2 BIS 3 1/2 STUNDEN</t>
  </si>
  <si>
    <t>DETMOLDER ZWEISTUFENFÜHRUNG   VOLLSAUERREIFEZEIT 3 BIS 4 STUNDEN</t>
  </si>
  <si>
    <t xml:space="preserve">DIE HEFESTUFEN WERDEN AUFGESCHLAGEN (BLÄSCHENBILDUNG), </t>
  </si>
  <si>
    <t>GRUND- UND VOLLSAUER WERDEN GEKNETET.</t>
  </si>
  <si>
    <t>MEHL</t>
  </si>
  <si>
    <t>DIE REIFEZEIT BETRÄGT 16 - 24 STUNDEN</t>
  </si>
  <si>
    <t>Salz</t>
  </si>
  <si>
    <t>TA</t>
  </si>
  <si>
    <t>in kg</t>
  </si>
  <si>
    <t>ÜBRIG FÜR NEUES ANSTELLGUT</t>
  </si>
  <si>
    <t>DSF-V</t>
  </si>
  <si>
    <t>DSF-G</t>
  </si>
  <si>
    <t>DDF</t>
  </si>
  <si>
    <t>DEF</t>
  </si>
  <si>
    <t>Geschamck DEF</t>
  </si>
  <si>
    <t>WQS</t>
  </si>
  <si>
    <t>23 - 27</t>
  </si>
  <si>
    <t>28 - 31</t>
  </si>
  <si>
    <t>Geschmack WQS</t>
  </si>
  <si>
    <t>BKS</t>
  </si>
  <si>
    <t>SSV</t>
  </si>
  <si>
    <t>3:00 - 4:00</t>
  </si>
  <si>
    <t>5:00 - 6:00</t>
  </si>
  <si>
    <t>5:30 - 6:30</t>
  </si>
  <si>
    <t>8:00 - 10:00</t>
  </si>
  <si>
    <t>DZF 1</t>
  </si>
  <si>
    <t>DZF 2</t>
  </si>
  <si>
    <t>SCH</t>
  </si>
  <si>
    <t>5:00 - 8:00</t>
  </si>
  <si>
    <t>7:30 - 10:00</t>
  </si>
  <si>
    <t>Salz im Rückbrot</t>
  </si>
  <si>
    <t>DREISTUFENFÜHRUNG GRUNDSAUER ÜBER NACHT</t>
  </si>
  <si>
    <t>DREISTUFENFÜHRUNG VOLLSAUER ÜBER NACHT</t>
  </si>
  <si>
    <t>DETMOLDER DREISTUFENFÜHRUNG OHNE ABENDARBEIT</t>
  </si>
  <si>
    <t>DETMOLDER ZWEISTUFENFÜHRUNG (VS-REIFE 2,5-3,5 STUNDEN)</t>
  </si>
  <si>
    <t>DETMOLDER ZWEISTUFENFÜHRUNG (VS-REIFE 3-4 STUNDEN)</t>
  </si>
  <si>
    <t>DETMOLDER EINSTUFENFÜHRUNG</t>
  </si>
  <si>
    <t>WEINHEIMER QUALITÄTSSAUER</t>
  </si>
  <si>
    <t>BERLINER KURZSAUER</t>
  </si>
  <si>
    <t>SALZSAUERVERFAHREN</t>
  </si>
  <si>
    <t>SCHAUMSAUER-FÜHRUNG</t>
  </si>
  <si>
    <t>DER SALZGEHALT DES ANSTELLSAUERS BETRÄGT</t>
  </si>
  <si>
    <t>SALZGEHALT DES SALZSAUERS</t>
  </si>
  <si>
    <t>WASSER</t>
  </si>
  <si>
    <t>SALZ</t>
  </si>
  <si>
    <t>RÜCKBROT</t>
  </si>
  <si>
    <t>TEIG</t>
  </si>
  <si>
    <t>DREISTUFENSAUER - GRUNDSAUER ÜBER NACHT</t>
  </si>
  <si>
    <t>ZEIT BIS</t>
  </si>
  <si>
    <t>ABSTEHZEIT</t>
  </si>
  <si>
    <t>VERMEHRUNGSHÖHE</t>
  </si>
  <si>
    <t>GESAMTMEHL</t>
  </si>
  <si>
    <t>TEIGAUSBEUTE</t>
  </si>
  <si>
    <t>GESAMTWASSER</t>
  </si>
  <si>
    <t>GESAMTGEWICHT</t>
  </si>
  <si>
    <t>SAUER</t>
  </si>
  <si>
    <t>MEHLZUGABE</t>
  </si>
  <si>
    <t>WASSERZUGABE</t>
  </si>
  <si>
    <t>TEMPERATUR IN 'C</t>
  </si>
  <si>
    <t>EMPFOHLEN
REIFEZEIT</t>
  </si>
  <si>
    <t>ANSTELLSAUER</t>
  </si>
  <si>
    <t>ANFRISCHSAUER</t>
  </si>
  <si>
    <t>GRUNDSAUER</t>
  </si>
  <si>
    <t>VOLLSAUER</t>
  </si>
  <si>
    <t>DREISTUFENSAUER - VOLLSAUER ÜBER NACHT</t>
  </si>
  <si>
    <t>ANSTELLGUT</t>
  </si>
  <si>
    <t>ROGGENMEHL</t>
  </si>
  <si>
    <t>MITTLERE TEMPERATUR</t>
  </si>
  <si>
    <t>WEINHEIMER QUALITÄTSSAUERTEIG</t>
  </si>
  <si>
    <t>BERLINER KURZSAUERFÜHRUNG</t>
  </si>
  <si>
    <t>SCHAUMSAUERVERFAHREN</t>
  </si>
  <si>
    <t>Faktor</t>
  </si>
  <si>
    <t>Neu Anst</t>
  </si>
  <si>
    <t>EMPFOHLENE
REIFEZEIT</t>
  </si>
  <si>
    <t>Mehl im Sauer/NEUANST schon weg</t>
  </si>
  <si>
    <t>HERZHAFT-SÄUERLICH</t>
  </si>
  <si>
    <t>MILD-SÄUERLICH</t>
  </si>
  <si>
    <t>KRÄFTIG-SÄUERLICH</t>
  </si>
  <si>
    <t>DIE REIFEZEIT BETRÄGT 15 - 24 STUNDEN</t>
  </si>
  <si>
    <t>DIE SOLLTEMPERATUR DES SAUERS LIEGT BEI 35' C</t>
  </si>
  <si>
    <t>DIE TA DES ANSTELLSAUERS LIEGT BEI</t>
  </si>
  <si>
    <t>SALZSAUER</t>
  </si>
  <si>
    <t>DIE REIFEZEIT BETRÄGT 18 - 24 STUNDEN, DIE DARAUFFOLGENDE STEHZEIT BIS ZU 72 STUNDEN.</t>
  </si>
  <si>
    <t>1. HEFESTUFE</t>
  </si>
  <si>
    <t>2. HEFESTUFE</t>
  </si>
  <si>
    <t>3. HEFESTUFE</t>
  </si>
  <si>
    <t>22  -24</t>
  </si>
  <si>
    <t>23  -24</t>
  </si>
  <si>
    <t>24  -24</t>
  </si>
  <si>
    <t>23-24</t>
  </si>
  <si>
    <t>GESCHMACK</t>
  </si>
  <si>
    <t>REST</t>
  </si>
  <si>
    <t>DIE SCHÜTTTEMPERATUR DARF BIS ZU 50'C BETRAGEN</t>
  </si>
  <si>
    <t>GESAMTMEHL
INCL. RÜCKBROT</t>
  </si>
  <si>
    <t>NA</t>
  </si>
  <si>
    <t>TEIGBEREITUNG</t>
  </si>
  <si>
    <t>ZEIT VON</t>
  </si>
  <si>
    <t>REIFEZEIT
IN STUNDEN</t>
  </si>
  <si>
    <t>15:00 - 24:00</t>
  </si>
  <si>
    <t>2:30 - 3:30</t>
  </si>
  <si>
    <t>INCL.VERLUSTE</t>
  </si>
  <si>
    <t>ANSTELL</t>
  </si>
  <si>
    <t># # # # # # #</t>
  </si>
  <si>
    <t>MENGE DES VERSÄUERTEN MEHLS</t>
  </si>
  <si>
    <t>Sauerteig-Rechner</t>
  </si>
  <si>
    <t>RESTBROT-ANTEIL (wobei die Restbrotzugabe nicht empfohlen wird)</t>
  </si>
  <si>
    <t>Hier die gewünschte Sauerteigmenge (als Mehlmenge im Sauerteig) eintragen</t>
  </si>
  <si>
    <t>© 2016 www.brotkruemel.com</t>
  </si>
  <si>
    <t>DER SAUERTEIG WIRD MIT 31 - 35'C TEIGTEMPERATUR GESCHÜTTET UND SINKT WÄHREND DER REIFUNG AUF BIS ZU 20'C.</t>
  </si>
  <si>
    <t>Hier Führung wählen  und in Zeile 16 (grünes Feld) nach "1" filtern (mit dem Pfeil nach unten)</t>
  </si>
  <si>
    <r>
      <t xml:space="preserve">
Diese Tabelle dient dazu die benötigten Einzelmengen und Abstehzeiten bei der Herstellung von von verschiedenen Sauerteigenführungen zu berechnen.  
Um eine Berechnung durchzuführen, gehe einfach die folgenden fünf Schritte.
     1.) Wähle zuerst die gewünschte Sauerteigführung aus. Dies geht durch "Aufklappen" des Feldes in Zeile 7.
     2.) Gib in das Feld "Menge des "versäuerten Mehls" wieviel Mehl im Sauerteig Du benötigst (Zeile 9).
     3.) Brauchst Du wieder neues Anstellgut oder möchtest Du Rückbrot in den Sauerteig geben, trage das in den Feldern darunter ein.
     4.) Nun klickst Du auf die Schaltfläche mit dem Pfeil im grünen Feld (Zeile 16) und wählst aus, dass es Dir nur die Zeilen mit der "1" anzeigen soll (Filter).
     5.) Es wird Dir nun die gewählte Sauerteigführung angezeigt. Dort füllst die gelben Felder aus. Beginne mit der Uhrzeit, zu der Du den fertigen Sauerteig benötigst und gehe dann mit dem Eintragen rückwärts entsprechend der vorgeschlagenen Zeitspannen. Bedenke dabei, dass man Zeiten mit einem Doppelpunkt schreibt (also z.B. 8:00 Uhr). Orientiere Dich nun an den roten Angaben und korrigiere Deine Einträge bis die Zusammenstellung passt.
Eine variable Anpassung der Teigausbeuten wurde bewusst nicht eingeplant, da diese die Reifeprozesse verändern. Es handelt sich also um die Standardangaben.
</t>
    </r>
    <r>
      <rPr>
        <b/>
        <sz val="8.5"/>
        <color rgb="FFFF0000"/>
        <rFont val="Lato"/>
        <family val="2"/>
      </rPr>
      <t>Die Mengen werden inkl. Gär- und Verarbeitungsverlusten gerechnet, so dass die rechnerische Menge etwas höher als die benötigte ist.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</si>
</sst>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00"/>
    <numFmt numFmtId="165" formatCode="0.0%"/>
    <numFmt numFmtId="166" formatCode="0.0000"/>
    <numFmt numFmtId="167" formatCode="0.00000"/>
    <numFmt numFmtId="168" formatCode="0.0"/>
    <numFmt numFmtId="169" formatCode="00\ \'\C"/>
    <numFmt numFmtId="170" formatCode="_-* #,##0.00\ [$€-1]_-;\-* #,##0.00\ [$€-1]_-;_-* &quot;-&quot;??\ [$€-1]_-"/>
    <numFmt numFmtId="171" formatCode="_-* #,##0.000_-;_-* #,##0.000\-;_-* &quot;-&quot;???_-;_-@_-"/>
    <numFmt numFmtId="172" formatCode="_-* #,##0.000_-;_-* #,##0.000\-;_-* &quot;-&quot;??_-;_-@_-"/>
    <numFmt numFmtId="173" formatCode="_-* #,##0.000\ _D_M_-;\-* #,##0.000\ _D_M_-;_-* &quot;-&quot;???\ _D_M_-;_-@_-"/>
    <numFmt numFmtId="174" formatCode="#,##0.000_ ;\-#,##0.000\ "/>
    <numFmt numFmtId="175" formatCode="h:mm;@"/>
    <numFmt numFmtId="176" formatCode="0.000&quot; kg&quot;"/>
  </numFmts>
  <fonts count="43" x14ac:knownFonts="1">
    <font>
      <sz val="10"/>
      <name val="Arial"/>
    </font>
    <font>
      <sz val="10"/>
      <name val="Arial"/>
      <family val="2"/>
    </font>
    <font>
      <sz val="8"/>
      <name val="Arial"/>
      <family val="2"/>
    </font>
    <font>
      <b/>
      <sz val="8"/>
      <color indexed="43"/>
      <name val="Lato"/>
      <family val="2"/>
    </font>
    <font>
      <sz val="8"/>
      <name val="Lato"/>
      <family val="2"/>
    </font>
    <font>
      <sz val="9"/>
      <name val="Lato"/>
      <family val="2"/>
    </font>
    <font>
      <sz val="10"/>
      <name val="Lato"/>
      <family val="2"/>
    </font>
    <font>
      <sz val="16"/>
      <color indexed="10"/>
      <name val="Lato"/>
      <family val="2"/>
    </font>
    <font>
      <b/>
      <sz val="8"/>
      <color indexed="52"/>
      <name val="Lato"/>
      <family val="2"/>
    </font>
    <font>
      <b/>
      <sz val="10"/>
      <name val="Lato"/>
      <family val="2"/>
    </font>
    <font>
      <b/>
      <sz val="8"/>
      <name val="Lato"/>
      <family val="2"/>
    </font>
    <font>
      <b/>
      <sz val="14"/>
      <color indexed="48"/>
      <name val="Lato"/>
      <family val="2"/>
    </font>
    <font>
      <sz val="10"/>
      <color indexed="42"/>
      <name val="Lato"/>
      <family val="2"/>
    </font>
    <font>
      <b/>
      <sz val="12"/>
      <name val="Lato"/>
      <family val="2"/>
    </font>
    <font>
      <b/>
      <sz val="14"/>
      <color indexed="42"/>
      <name val="Lato"/>
      <family val="2"/>
    </font>
    <font>
      <b/>
      <sz val="12"/>
      <color indexed="52"/>
      <name val="Lato"/>
      <family val="2"/>
    </font>
    <font>
      <b/>
      <sz val="14"/>
      <color indexed="8"/>
      <name val="Lato"/>
      <family val="2"/>
    </font>
    <font>
      <sz val="12"/>
      <name val="Lato"/>
      <family val="2"/>
    </font>
    <font>
      <sz val="11"/>
      <name val="Lato"/>
      <family val="2"/>
    </font>
    <font>
      <b/>
      <sz val="11"/>
      <name val="Lato"/>
      <family val="2"/>
    </font>
    <font>
      <b/>
      <sz val="10"/>
      <color indexed="9"/>
      <name val="Lato"/>
      <family val="2"/>
    </font>
    <font>
      <b/>
      <sz val="14"/>
      <color theme="1" tint="4.9989318521683403E-2"/>
      <name val="Lato"/>
      <family val="2"/>
    </font>
    <font>
      <b/>
      <sz val="14"/>
      <color indexed="10"/>
      <name val="Lato"/>
      <family val="2"/>
    </font>
    <font>
      <b/>
      <sz val="12"/>
      <color indexed="43"/>
      <name val="Lato"/>
      <family val="2"/>
    </font>
    <font>
      <b/>
      <sz val="9.5"/>
      <name val="Lato"/>
      <family val="2"/>
    </font>
    <font>
      <b/>
      <sz val="9"/>
      <name val="Lato"/>
      <family val="2"/>
    </font>
    <font>
      <b/>
      <sz val="10"/>
      <color indexed="52"/>
      <name val="Lato"/>
      <family val="2"/>
    </font>
    <font>
      <b/>
      <sz val="10"/>
      <color indexed="10"/>
      <name val="Lato"/>
      <family val="2"/>
    </font>
    <font>
      <b/>
      <sz val="8"/>
      <color indexed="9"/>
      <name val="Lato"/>
      <family val="2"/>
    </font>
    <font>
      <b/>
      <sz val="8"/>
      <color indexed="10"/>
      <name val="Lato"/>
      <family val="2"/>
    </font>
    <font>
      <b/>
      <sz val="10"/>
      <color indexed="8"/>
      <name val="Lato"/>
      <family val="2"/>
    </font>
    <font>
      <b/>
      <sz val="10"/>
      <color indexed="12"/>
      <name val="Lato"/>
      <family val="2"/>
    </font>
    <font>
      <b/>
      <sz val="10"/>
      <color theme="1" tint="4.9989318521683403E-2"/>
      <name val="Lato"/>
      <family val="2"/>
    </font>
    <font>
      <sz val="10"/>
      <color theme="1" tint="4.9989318521683403E-2"/>
      <name val="Lato"/>
      <family val="2"/>
    </font>
    <font>
      <b/>
      <sz val="10"/>
      <color indexed="43"/>
      <name val="Lato"/>
      <family val="2"/>
    </font>
    <font>
      <b/>
      <sz val="10"/>
      <color indexed="18"/>
      <name val="Lato"/>
      <family val="2"/>
    </font>
    <font>
      <sz val="36"/>
      <color rgb="FFEF930B"/>
      <name val="Lato"/>
      <family val="2"/>
    </font>
    <font>
      <b/>
      <sz val="11"/>
      <color indexed="18"/>
      <name val="Lato"/>
      <family val="2"/>
    </font>
    <font>
      <b/>
      <sz val="14"/>
      <color indexed="18"/>
      <name val="Lato"/>
      <family val="2"/>
    </font>
    <font>
      <b/>
      <sz val="12"/>
      <color rgb="FFEF930B"/>
      <name val="Lato"/>
      <family val="2"/>
    </font>
    <font>
      <b/>
      <sz val="8.5"/>
      <name val="Lato"/>
      <family val="2"/>
    </font>
    <font>
      <b/>
      <sz val="8.5"/>
      <color rgb="FFFF0000"/>
      <name val="Lato"/>
      <family val="2"/>
    </font>
    <font>
      <sz val="8.5"/>
      <name val="Arial"/>
      <family val="2"/>
    </font>
  </fonts>
  <fills count="20">
    <fill>
      <patternFill patternType="none"/>
    </fill>
    <fill>
      <patternFill patternType="gray125"/>
    </fill>
    <fill>
      <patternFill patternType="solid">
        <fgColor indexed="42"/>
        <bgColor indexed="64"/>
      </patternFill>
    </fill>
    <fill>
      <patternFill patternType="solid">
        <fgColor indexed="48"/>
        <bgColor indexed="64"/>
      </patternFill>
    </fill>
    <fill>
      <patternFill patternType="solid">
        <fgColor indexed="14"/>
        <bgColor indexed="64"/>
      </patternFill>
    </fill>
    <fill>
      <patternFill patternType="solid">
        <fgColor indexed="45"/>
        <bgColor indexed="64"/>
      </patternFill>
    </fill>
    <fill>
      <patternFill patternType="solid">
        <fgColor indexed="44"/>
        <bgColor indexed="64"/>
      </patternFill>
    </fill>
    <fill>
      <patternFill patternType="solid">
        <fgColor indexed="50"/>
        <bgColor indexed="64"/>
      </patternFill>
    </fill>
    <fill>
      <patternFill patternType="solid">
        <fgColor indexed="11"/>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indexed="12"/>
        <bgColor indexed="64"/>
      </patternFill>
    </fill>
    <fill>
      <patternFill patternType="solid">
        <fgColor indexed="13"/>
        <bgColor indexed="64"/>
      </patternFill>
    </fill>
    <fill>
      <patternFill patternType="solid">
        <fgColor indexed="57"/>
        <bgColor indexed="64"/>
      </patternFill>
    </fill>
    <fill>
      <patternFill patternType="solid">
        <fgColor indexed="49"/>
        <bgColor indexed="64"/>
      </patternFill>
    </fill>
    <fill>
      <patternFill patternType="solid">
        <fgColor indexed="40"/>
        <bgColor indexed="64"/>
      </patternFill>
    </fill>
    <fill>
      <patternFill patternType="solid">
        <fgColor rgb="FFFFC000"/>
        <bgColor indexed="64"/>
      </patternFill>
    </fill>
    <fill>
      <patternFill patternType="solid">
        <fgColor theme="9"/>
        <bgColor indexed="64"/>
      </patternFill>
    </fill>
    <fill>
      <patternFill patternType="solid">
        <fgColor theme="0"/>
        <bgColor indexed="64"/>
      </patternFill>
    </fill>
  </fills>
  <borders count="26">
    <border>
      <left/>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style="double">
        <color indexed="14"/>
      </left>
      <right style="double">
        <color indexed="14"/>
      </right>
      <top style="double">
        <color indexed="14"/>
      </top>
      <bottom style="double">
        <color indexed="1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FFC000"/>
      </left>
      <right/>
      <top style="thin">
        <color rgb="FFFFC000"/>
      </top>
      <bottom style="thin">
        <color rgb="FFFFC000"/>
      </bottom>
      <diagonal/>
    </border>
    <border>
      <left/>
      <right/>
      <top style="thin">
        <color rgb="FFFFC000"/>
      </top>
      <bottom style="thin">
        <color rgb="FFFFC000"/>
      </bottom>
      <diagonal/>
    </border>
    <border>
      <left/>
      <right style="thin">
        <color rgb="FFFFC000"/>
      </right>
      <top style="thin">
        <color rgb="FFFFC000"/>
      </top>
      <bottom style="thin">
        <color rgb="FFFFC000"/>
      </bottom>
      <diagonal/>
    </border>
  </borders>
  <cellStyleXfs count="3">
    <xf numFmtId="0" fontId="0" fillId="0" borderId="0"/>
    <xf numFmtId="170" fontId="1" fillId="0" borderId="0" applyFont="0" applyFill="0" applyBorder="0" applyAlignment="0" applyProtection="0"/>
    <xf numFmtId="9" fontId="1" fillId="0" borderId="0" applyFont="0" applyFill="0" applyBorder="0" applyAlignment="0" applyProtection="0"/>
  </cellStyleXfs>
  <cellXfs count="362">
    <xf numFmtId="0" fontId="0" fillId="0" borderId="0" xfId="0"/>
    <xf numFmtId="0" fontId="3" fillId="0" borderId="0" xfId="0" applyFont="1" applyFill="1" applyAlignment="1" applyProtection="1">
      <alignment vertical="center" textRotation="90"/>
    </xf>
    <xf numFmtId="0" fontId="4" fillId="17" borderId="0" xfId="0" applyFont="1" applyFill="1"/>
    <xf numFmtId="0" fontId="5" fillId="0" borderId="0" xfId="0"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9" fontId="5" fillId="0" borderId="0" xfId="2" applyFont="1" applyFill="1" applyBorder="1" applyAlignment="1" applyProtection="1">
      <alignment horizontal="center" vertical="center"/>
      <protection locked="0"/>
    </xf>
    <xf numFmtId="0" fontId="6" fillId="0" borderId="0" xfId="0" applyFont="1" applyFill="1" applyBorder="1" applyAlignment="1">
      <alignment vertical="center"/>
    </xf>
    <xf numFmtId="0" fontId="6" fillId="0" borderId="0" xfId="0" applyFont="1" applyFill="1"/>
    <xf numFmtId="0" fontId="6" fillId="0" borderId="0" xfId="0" applyFont="1"/>
    <xf numFmtId="0" fontId="8" fillId="17" borderId="0" xfId="0" applyFont="1" applyFill="1" applyAlignment="1">
      <alignment horizontal="center" vertical="center" textRotation="180"/>
    </xf>
    <xf numFmtId="0" fontId="6" fillId="16" borderId="9" xfId="0" applyFont="1" applyFill="1" applyBorder="1" applyAlignment="1">
      <alignment vertical="center"/>
    </xf>
    <xf numFmtId="0" fontId="6" fillId="9" borderId="9" xfId="0" applyFont="1" applyFill="1" applyBorder="1" applyAlignment="1">
      <alignment vertical="center"/>
    </xf>
    <xf numFmtId="0" fontId="6" fillId="13" borderId="6" xfId="0" applyFont="1" applyFill="1" applyBorder="1" applyAlignment="1">
      <alignment vertical="center"/>
    </xf>
    <xf numFmtId="0" fontId="9" fillId="0" borderId="0" xfId="0" applyFont="1" applyFill="1"/>
    <xf numFmtId="0" fontId="9" fillId="10" borderId="10" xfId="0" applyFont="1" applyFill="1" applyBorder="1" applyAlignment="1">
      <alignment vertical="center"/>
    </xf>
    <xf numFmtId="0" fontId="6" fillId="13" borderId="10" xfId="0" applyFont="1" applyFill="1" applyBorder="1" applyAlignment="1">
      <alignment vertical="center"/>
    </xf>
    <xf numFmtId="0" fontId="6" fillId="0" borderId="0" xfId="0" applyFont="1" applyAlignment="1">
      <alignment vertical="center"/>
    </xf>
    <xf numFmtId="0" fontId="11" fillId="0" borderId="0" xfId="0" applyFont="1" applyFill="1" applyBorder="1" applyAlignment="1">
      <alignment vertical="center"/>
    </xf>
    <xf numFmtId="0" fontId="6" fillId="0" borderId="1" xfId="0" applyFont="1" applyFill="1" applyBorder="1"/>
    <xf numFmtId="0" fontId="6" fillId="13" borderId="8" xfId="0" applyFont="1" applyFill="1" applyBorder="1" applyAlignment="1">
      <alignment vertical="center"/>
    </xf>
    <xf numFmtId="0" fontId="9" fillId="0" borderId="0" xfId="0" applyFont="1" applyFill="1" applyBorder="1" applyAlignment="1">
      <alignment vertical="center"/>
    </xf>
    <xf numFmtId="0" fontId="6" fillId="9" borderId="2" xfId="0" applyFont="1" applyFill="1" applyBorder="1" applyAlignment="1">
      <alignment vertical="center"/>
    </xf>
    <xf numFmtId="0" fontId="12" fillId="12" borderId="10" xfId="0" applyFont="1" applyFill="1" applyBorder="1" applyAlignment="1">
      <alignment vertical="center"/>
    </xf>
    <xf numFmtId="0" fontId="12" fillId="12" borderId="0" xfId="0" applyFont="1" applyFill="1" applyBorder="1" applyAlignment="1">
      <alignment vertical="center"/>
    </xf>
    <xf numFmtId="9" fontId="13" fillId="10" borderId="3" xfId="2" applyFont="1" applyFill="1" applyBorder="1" applyAlignment="1">
      <alignment vertical="center"/>
    </xf>
    <xf numFmtId="166" fontId="6" fillId="9" borderId="11" xfId="0" applyNumberFormat="1" applyFont="1" applyFill="1" applyBorder="1" applyAlignment="1">
      <alignment vertical="center"/>
    </xf>
    <xf numFmtId="0" fontId="6" fillId="0" borderId="10" xfId="0" applyFont="1" applyBorder="1" applyAlignment="1">
      <alignment vertical="center"/>
    </xf>
    <xf numFmtId="2" fontId="6" fillId="2" borderId="11" xfId="0" applyNumberFormat="1" applyFont="1" applyFill="1" applyBorder="1" applyAlignment="1">
      <alignment vertical="center"/>
    </xf>
    <xf numFmtId="0" fontId="6" fillId="9" borderId="1" xfId="0" applyFont="1" applyFill="1" applyBorder="1" applyAlignment="1">
      <alignment vertical="center"/>
    </xf>
    <xf numFmtId="0" fontId="9" fillId="0" borderId="0" xfId="0" applyFont="1" applyFill="1" applyAlignment="1">
      <alignment vertical="center"/>
    </xf>
    <xf numFmtId="164" fontId="14" fillId="14" borderId="5" xfId="0" applyNumberFormat="1" applyFont="1" applyFill="1" applyBorder="1" applyAlignment="1">
      <alignment vertical="center"/>
    </xf>
    <xf numFmtId="164" fontId="6" fillId="0" borderId="0" xfId="0" applyNumberFormat="1" applyFont="1" applyFill="1" applyBorder="1" applyAlignment="1">
      <alignment vertical="center"/>
    </xf>
    <xf numFmtId="0" fontId="9" fillId="11" borderId="0" xfId="0" applyFont="1" applyFill="1" applyAlignment="1">
      <alignment horizontal="center" vertical="center"/>
    </xf>
    <xf numFmtId="165" fontId="6" fillId="0" borderId="0" xfId="2" applyNumberFormat="1" applyFont="1" applyFill="1" applyAlignment="1">
      <alignment vertical="center"/>
    </xf>
    <xf numFmtId="0" fontId="4" fillId="0" borderId="0" xfId="0" applyFont="1" applyFill="1"/>
    <xf numFmtId="0" fontId="15" fillId="0" borderId="0" xfId="0" applyFont="1" applyAlignment="1">
      <alignment horizontal="center" vertical="center"/>
    </xf>
    <xf numFmtId="0" fontId="4" fillId="0" borderId="0" xfId="0" applyFont="1" applyFill="1" applyBorder="1" applyAlignment="1">
      <alignment horizontal="center" vertical="center"/>
    </xf>
    <xf numFmtId="164" fontId="9" fillId="11" borderId="0" xfId="0" applyNumberFormat="1" applyFont="1" applyFill="1" applyAlignment="1">
      <alignment vertical="center"/>
    </xf>
    <xf numFmtId="0" fontId="4" fillId="17" borderId="12" xfId="0" applyFont="1" applyFill="1" applyBorder="1" applyProtection="1"/>
    <xf numFmtId="0" fontId="4" fillId="0" borderId="0" xfId="0" applyFont="1"/>
    <xf numFmtId="1" fontId="16" fillId="6" borderId="4" xfId="0" applyNumberFormat="1" applyFont="1" applyFill="1" applyBorder="1" applyAlignment="1">
      <alignment vertical="center"/>
    </xf>
    <xf numFmtId="0" fontId="9" fillId="0" borderId="0" xfId="0" applyFont="1"/>
    <xf numFmtId="0" fontId="6" fillId="0" borderId="0" xfId="0" applyFont="1" applyFill="1" applyProtection="1"/>
    <xf numFmtId="164" fontId="14" fillId="0" borderId="0" xfId="0" applyNumberFormat="1" applyFont="1" applyFill="1" applyBorder="1" applyAlignment="1">
      <alignment horizontal="center" vertical="center"/>
    </xf>
    <xf numFmtId="0" fontId="15" fillId="0" borderId="0" xfId="0" applyFont="1" applyFill="1" applyAlignment="1">
      <alignment horizontal="center" vertical="center"/>
    </xf>
    <xf numFmtId="0" fontId="6" fillId="2" borderId="0" xfId="0" applyFont="1" applyFill="1"/>
    <xf numFmtId="0" fontId="6" fillId="2" borderId="0" xfId="0" applyFont="1" applyFill="1" applyBorder="1"/>
    <xf numFmtId="0" fontId="6" fillId="0" borderId="0" xfId="0" applyFont="1" applyProtection="1"/>
    <xf numFmtId="0" fontId="6" fillId="0" borderId="0" xfId="0" applyFont="1" applyAlignment="1">
      <alignment horizontal="right" vertical="center"/>
    </xf>
    <xf numFmtId="0" fontId="18" fillId="0" borderId="0" xfId="0" applyFont="1" applyFill="1" applyAlignment="1">
      <alignment vertical="center"/>
    </xf>
    <xf numFmtId="0" fontId="6" fillId="0" borderId="0" xfId="0" applyFont="1" applyBorder="1" applyAlignment="1">
      <alignment vertical="center"/>
    </xf>
    <xf numFmtId="0" fontId="6" fillId="0" borderId="2" xfId="0" applyFont="1" applyFill="1" applyBorder="1"/>
    <xf numFmtId="0" fontId="6" fillId="13" borderId="7" xfId="0" applyFont="1" applyFill="1" applyBorder="1" applyAlignment="1">
      <alignment vertical="center"/>
    </xf>
    <xf numFmtId="164" fontId="19" fillId="0" borderId="0" xfId="0" applyNumberFormat="1" applyFont="1" applyFill="1" applyBorder="1" applyAlignment="1">
      <alignment vertical="center"/>
    </xf>
    <xf numFmtId="164" fontId="6" fillId="0" borderId="0" xfId="0" applyNumberFormat="1" applyFont="1" applyFill="1" applyAlignment="1">
      <alignment vertical="center"/>
    </xf>
    <xf numFmtId="1" fontId="6" fillId="0" borderId="0" xfId="0" applyNumberFormat="1" applyFont="1" applyFill="1" applyAlignment="1">
      <alignment vertical="center"/>
    </xf>
    <xf numFmtId="9" fontId="15" fillId="6" borderId="0" xfId="2" applyFont="1" applyFill="1" applyAlignment="1">
      <alignment horizontal="center" vertical="center"/>
    </xf>
    <xf numFmtId="0" fontId="6" fillId="7" borderId="0" xfId="0" applyFont="1" applyFill="1"/>
    <xf numFmtId="0" fontId="6" fillId="14" borderId="0" xfId="0" applyFont="1" applyFill="1"/>
    <xf numFmtId="0" fontId="6" fillId="15" borderId="0" xfId="0" applyFont="1" applyFill="1"/>
    <xf numFmtId="0" fontId="10" fillId="0" borderId="0" xfId="0" applyFont="1" applyProtection="1"/>
    <xf numFmtId="0" fontId="20" fillId="0" borderId="0" xfId="0" applyFont="1" applyFill="1" applyAlignment="1" applyProtection="1">
      <alignment vertical="center"/>
    </xf>
    <xf numFmtId="0" fontId="6" fillId="17" borderId="0" xfId="0" applyFont="1" applyFill="1"/>
    <xf numFmtId="0" fontId="6" fillId="17" borderId="0" xfId="0" applyFont="1" applyFill="1" applyAlignment="1">
      <alignment textRotation="90" wrapText="1"/>
    </xf>
    <xf numFmtId="0" fontId="4" fillId="0" borderId="0" xfId="0" applyFont="1" applyAlignment="1">
      <alignment vertical="center"/>
    </xf>
    <xf numFmtId="0" fontId="6" fillId="3" borderId="0" xfId="0" applyFont="1" applyFill="1" applyAlignment="1">
      <alignment vertical="center"/>
    </xf>
    <xf numFmtId="0" fontId="23" fillId="4" borderId="0" xfId="0" applyFont="1" applyFill="1" applyAlignment="1">
      <alignment horizontal="center" vertical="center"/>
    </xf>
    <xf numFmtId="168" fontId="23" fillId="5" borderId="0" xfId="0" applyNumberFormat="1" applyFont="1" applyFill="1" applyAlignment="1">
      <alignment horizontal="center" vertical="center"/>
    </xf>
    <xf numFmtId="9" fontId="6" fillId="7" borderId="0" xfId="2" applyFont="1" applyFill="1"/>
    <xf numFmtId="164" fontId="6" fillId="14" borderId="0" xfId="0" applyNumberFormat="1" applyFont="1" applyFill="1"/>
    <xf numFmtId="164" fontId="6" fillId="0" borderId="0" xfId="0" applyNumberFormat="1" applyFont="1" applyAlignment="1">
      <alignment vertical="center"/>
    </xf>
    <xf numFmtId="20" fontId="6" fillId="9" borderId="15" xfId="0" applyNumberFormat="1" applyFont="1" applyFill="1" applyBorder="1" applyAlignment="1" applyProtection="1">
      <protection locked="0"/>
    </xf>
    <xf numFmtId="0" fontId="6" fillId="17" borderId="0" xfId="0" quotePrefix="1" applyFont="1" applyFill="1" applyAlignment="1">
      <alignment horizontal="center"/>
    </xf>
    <xf numFmtId="164" fontId="4" fillId="0" borderId="0" xfId="0" applyNumberFormat="1" applyFont="1" applyAlignment="1">
      <alignment vertical="center"/>
    </xf>
    <xf numFmtId="171" fontId="4" fillId="0" borderId="0" xfId="0" applyNumberFormat="1" applyFont="1" applyAlignment="1">
      <alignment vertical="center"/>
    </xf>
    <xf numFmtId="164" fontId="4" fillId="0" borderId="0" xfId="0" applyNumberFormat="1" applyFont="1" applyFill="1" applyAlignment="1">
      <alignment vertical="center"/>
    </xf>
    <xf numFmtId="171" fontId="4" fillId="0" borderId="0" xfId="0" applyNumberFormat="1" applyFont="1" applyFill="1" applyAlignment="1">
      <alignment vertical="center"/>
    </xf>
    <xf numFmtId="9" fontId="6" fillId="0" borderId="0" xfId="2" applyFont="1" applyFill="1" applyBorder="1" applyAlignment="1">
      <alignment vertical="center"/>
    </xf>
    <xf numFmtId="20" fontId="6" fillId="9" borderId="16" xfId="0" applyNumberFormat="1" applyFont="1" applyFill="1" applyBorder="1" applyAlignment="1" applyProtection="1">
      <protection locked="0"/>
    </xf>
    <xf numFmtId="20" fontId="6" fillId="0" borderId="14" xfId="0" applyNumberFormat="1" applyFont="1" applyFill="1" applyBorder="1" applyAlignment="1" applyProtection="1"/>
    <xf numFmtId="172" fontId="4" fillId="0" borderId="0" xfId="0" applyNumberFormat="1" applyFont="1" applyAlignment="1">
      <alignment vertical="center"/>
    </xf>
    <xf numFmtId="9" fontId="6" fillId="6" borderId="0" xfId="2" applyFont="1" applyFill="1" applyAlignment="1">
      <alignment vertical="center"/>
    </xf>
    <xf numFmtId="9" fontId="26" fillId="7" borderId="0" xfId="2" applyFont="1" applyFill="1" applyAlignment="1">
      <alignment horizontal="center" vertical="center"/>
    </xf>
    <xf numFmtId="0" fontId="6" fillId="17" borderId="0" xfId="0" applyFont="1" applyFill="1" applyProtection="1"/>
    <xf numFmtId="0" fontId="6" fillId="0" borderId="0" xfId="0" applyFont="1" applyAlignment="1">
      <alignment vertical="center" wrapText="1"/>
    </xf>
    <xf numFmtId="9" fontId="6" fillId="0" borderId="0" xfId="2" applyFont="1" applyAlignment="1">
      <alignment vertical="center"/>
    </xf>
    <xf numFmtId="0" fontId="6" fillId="0" borderId="0" xfId="0" quotePrefix="1" applyFont="1" applyAlignment="1">
      <alignment horizontal="center" vertical="center"/>
    </xf>
    <xf numFmtId="0" fontId="6" fillId="0" borderId="0" xfId="0" quotePrefix="1" applyFont="1" applyAlignment="1">
      <alignment vertical="center"/>
    </xf>
    <xf numFmtId="0" fontId="6" fillId="0" borderId="0" xfId="0" quotePrefix="1" applyFont="1" applyFill="1" applyAlignment="1">
      <alignment horizontal="center" vertical="center"/>
    </xf>
    <xf numFmtId="0" fontId="6" fillId="0" borderId="0" xfId="0" quotePrefix="1" applyFont="1" applyFill="1" applyAlignment="1">
      <alignment vertical="center"/>
    </xf>
    <xf numFmtId="174" fontId="10" fillId="7" borderId="0" xfId="0" applyNumberFormat="1" applyFont="1" applyFill="1" applyAlignment="1">
      <alignment horizontal="right" vertical="center"/>
    </xf>
    <xf numFmtId="164" fontId="6" fillId="7" borderId="0" xfId="0" applyNumberFormat="1" applyFont="1" applyFill="1" applyAlignment="1">
      <alignment vertical="center"/>
    </xf>
    <xf numFmtId="9" fontId="6" fillId="7" borderId="11" xfId="2" applyFont="1" applyFill="1" applyBorder="1" applyAlignment="1">
      <alignment vertical="center"/>
    </xf>
    <xf numFmtId="0" fontId="28" fillId="0" borderId="0" xfId="0" applyFont="1" applyFill="1" applyAlignment="1" applyProtection="1">
      <alignment vertical="center"/>
    </xf>
    <xf numFmtId="164" fontId="6" fillId="14" borderId="0" xfId="0" applyNumberFormat="1" applyFont="1" applyFill="1" applyAlignment="1">
      <alignment vertical="center"/>
    </xf>
    <xf numFmtId="9" fontId="6" fillId="0" borderId="0" xfId="2" applyFont="1" applyBorder="1" applyAlignment="1">
      <alignment vertical="center"/>
    </xf>
    <xf numFmtId="0" fontId="4" fillId="17" borderId="0" xfId="0" applyFont="1" applyFill="1" applyProtection="1"/>
    <xf numFmtId="0" fontId="10" fillId="0" borderId="0" xfId="0" applyFont="1" applyAlignment="1" applyProtection="1"/>
    <xf numFmtId="0" fontId="4" fillId="17" borderId="0" xfId="0" applyFont="1" applyFill="1" applyAlignment="1">
      <alignment textRotation="90"/>
    </xf>
    <xf numFmtId="0" fontId="4" fillId="0" borderId="0" xfId="0" applyFont="1" applyAlignment="1">
      <alignment vertical="center" wrapText="1"/>
    </xf>
    <xf numFmtId="0" fontId="10" fillId="0" borderId="0" xfId="0" applyFont="1" applyFill="1" applyBorder="1" applyAlignment="1">
      <alignment vertical="center"/>
    </xf>
    <xf numFmtId="171" fontId="4" fillId="0" borderId="0" xfId="0" applyNumberFormat="1" applyFont="1" applyAlignment="1">
      <alignment horizontal="center" vertical="center"/>
    </xf>
    <xf numFmtId="0" fontId="25" fillId="0" borderId="0" xfId="0" applyFont="1" applyAlignment="1" applyProtection="1">
      <alignment horizontal="right" indent="2"/>
    </xf>
    <xf numFmtId="174" fontId="10" fillId="7" borderId="0" xfId="0" applyNumberFormat="1" applyFont="1" applyFill="1" applyBorder="1" applyAlignment="1">
      <alignment horizontal="right" vertical="center"/>
    </xf>
    <xf numFmtId="164" fontId="6" fillId="7" borderId="0" xfId="0" applyNumberFormat="1" applyFont="1" applyFill="1" applyBorder="1" applyAlignment="1">
      <alignment vertical="center"/>
    </xf>
    <xf numFmtId="9" fontId="6" fillId="7" borderId="0" xfId="2" applyFont="1" applyFill="1" applyBorder="1" applyAlignment="1">
      <alignment vertical="center"/>
    </xf>
    <xf numFmtId="164" fontId="6" fillId="14" borderId="0" xfId="0" applyNumberFormat="1" applyFont="1" applyFill="1" applyBorder="1" applyAlignment="1">
      <alignment vertical="center"/>
    </xf>
    <xf numFmtId="164" fontId="6" fillId="15" borderId="0" xfId="0" applyNumberFormat="1" applyFont="1" applyFill="1" applyBorder="1" applyAlignment="1">
      <alignment vertical="center"/>
    </xf>
    <xf numFmtId="0" fontId="26" fillId="7" borderId="0" xfId="0" applyFont="1" applyFill="1" applyAlignment="1">
      <alignment vertical="center"/>
    </xf>
    <xf numFmtId="0" fontId="9" fillId="0" borderId="0" xfId="0" applyFont="1" applyProtection="1"/>
    <xf numFmtId="0" fontId="27" fillId="0" borderId="0" xfId="0" applyFont="1" applyBorder="1" applyAlignment="1">
      <alignment vertical="center"/>
    </xf>
    <xf numFmtId="0" fontId="5" fillId="8" borderId="0" xfId="0" applyFont="1" applyFill="1" applyBorder="1" applyAlignment="1">
      <alignment vertical="center"/>
    </xf>
    <xf numFmtId="164" fontId="6" fillId="8" borderId="0" xfId="0" applyNumberFormat="1" applyFont="1" applyFill="1" applyBorder="1" applyAlignment="1">
      <alignment vertical="center"/>
    </xf>
    <xf numFmtId="0" fontId="6" fillId="8" borderId="0" xfId="0" applyFont="1" applyFill="1" applyBorder="1" applyAlignment="1">
      <alignment vertical="center"/>
    </xf>
    <xf numFmtId="9" fontId="6" fillId="0" borderId="14" xfId="2" applyFont="1" applyFill="1" applyBorder="1" applyProtection="1"/>
    <xf numFmtId="164" fontId="6" fillId="17" borderId="0" xfId="0" applyNumberFormat="1" applyFont="1" applyFill="1"/>
    <xf numFmtId="0" fontId="19" fillId="0" borderId="0" xfId="0" applyFont="1" applyAlignment="1" applyProtection="1">
      <alignment horizontal="center"/>
    </xf>
    <xf numFmtId="0" fontId="10" fillId="0" borderId="0" xfId="0" applyFont="1" applyAlignment="1">
      <alignment vertical="center"/>
    </xf>
    <xf numFmtId="174" fontId="10" fillId="0" borderId="0" xfId="0" applyNumberFormat="1" applyFont="1" applyAlignment="1">
      <alignment horizontal="right" vertical="center"/>
    </xf>
    <xf numFmtId="0" fontId="32" fillId="17" borderId="0" xfId="0" applyFont="1" applyFill="1" applyAlignment="1" applyProtection="1"/>
    <xf numFmtId="0" fontId="33" fillId="17" borderId="0" xfId="0" applyFont="1" applyFill="1" applyProtection="1"/>
    <xf numFmtId="165" fontId="9" fillId="9" borderId="15" xfId="2" applyNumberFormat="1" applyFont="1" applyFill="1" applyBorder="1" applyAlignment="1" applyProtection="1">
      <alignment horizontal="center" vertical="center"/>
      <protection locked="0"/>
    </xf>
    <xf numFmtId="165" fontId="9" fillId="9" borderId="16" xfId="2" applyNumberFormat="1" applyFont="1" applyFill="1" applyBorder="1" applyAlignment="1" applyProtection="1">
      <alignment horizontal="center" vertical="center"/>
      <protection locked="0"/>
    </xf>
    <xf numFmtId="0" fontId="6" fillId="17" borderId="0" xfId="0" applyFont="1" applyFill="1" applyAlignment="1">
      <alignment vertical="center"/>
    </xf>
    <xf numFmtId="169" fontId="9" fillId="9" borderId="15" xfId="0" applyNumberFormat="1" applyFont="1" applyFill="1" applyBorder="1" applyAlignment="1" applyProtection="1">
      <alignment horizontal="center" vertical="center"/>
      <protection locked="0"/>
    </xf>
    <xf numFmtId="0" fontId="9" fillId="0" borderId="0" xfId="0" applyFont="1" applyAlignment="1" applyProtection="1">
      <alignment vertical="center"/>
    </xf>
    <xf numFmtId="0" fontId="34" fillId="4" borderId="0" xfId="0" applyFont="1" applyFill="1" applyAlignment="1">
      <alignment horizontal="center" vertical="center"/>
    </xf>
    <xf numFmtId="168" fontId="34" fillId="5" borderId="0" xfId="0" applyNumberFormat="1" applyFont="1" applyFill="1" applyAlignment="1">
      <alignment horizontal="center" vertical="center"/>
    </xf>
    <xf numFmtId="171" fontId="6" fillId="0" borderId="0" xfId="0" applyNumberFormat="1" applyFont="1" applyAlignment="1">
      <alignment vertical="center"/>
    </xf>
    <xf numFmtId="174" fontId="9" fillId="7" borderId="0" xfId="0" applyNumberFormat="1" applyFont="1" applyFill="1" applyAlignment="1">
      <alignment horizontal="right" vertical="center"/>
    </xf>
    <xf numFmtId="20" fontId="6" fillId="9" borderId="15" xfId="0" applyNumberFormat="1" applyFont="1" applyFill="1" applyBorder="1" applyAlignment="1" applyProtection="1">
      <alignment vertical="center"/>
      <protection locked="0"/>
    </xf>
    <xf numFmtId="20" fontId="6" fillId="9" borderId="16" xfId="0" applyNumberFormat="1" applyFont="1" applyFill="1" applyBorder="1" applyAlignment="1" applyProtection="1">
      <alignment vertical="center"/>
      <protection locked="0"/>
    </xf>
    <xf numFmtId="172" fontId="6" fillId="0" borderId="0" xfId="0" applyNumberFormat="1" applyFont="1" applyAlignment="1">
      <alignment vertical="center"/>
    </xf>
    <xf numFmtId="20" fontId="6" fillId="0" borderId="14" xfId="0" applyNumberFormat="1" applyFont="1" applyFill="1" applyBorder="1" applyAlignment="1" applyProtection="1">
      <alignment vertical="center"/>
    </xf>
    <xf numFmtId="0" fontId="27" fillId="17" borderId="0" xfId="0" applyFont="1" applyFill="1" applyBorder="1" applyAlignment="1">
      <alignment vertical="center"/>
    </xf>
    <xf numFmtId="171" fontId="6" fillId="17" borderId="0" xfId="0" applyNumberFormat="1" applyFont="1" applyFill="1" applyAlignment="1">
      <alignment horizontal="center" vertical="center"/>
    </xf>
    <xf numFmtId="9" fontId="9" fillId="9" borderId="16" xfId="2" applyNumberFormat="1" applyFont="1" applyFill="1" applyBorder="1" applyAlignment="1" applyProtection="1">
      <alignment horizontal="center" vertical="center"/>
      <protection locked="0"/>
    </xf>
    <xf numFmtId="174" fontId="9" fillId="7" borderId="0" xfId="0" applyNumberFormat="1" applyFont="1" applyFill="1" applyBorder="1" applyAlignment="1">
      <alignment horizontal="right" vertical="center"/>
    </xf>
    <xf numFmtId="9" fontId="13" fillId="10" borderId="0" xfId="2" applyFont="1" applyFill="1" applyBorder="1" applyAlignment="1">
      <alignment vertical="center"/>
    </xf>
    <xf numFmtId="166" fontId="6" fillId="9" borderId="0" xfId="0" applyNumberFormat="1" applyFont="1" applyFill="1" applyBorder="1" applyAlignment="1">
      <alignment vertical="center"/>
    </xf>
    <xf numFmtId="2" fontId="6" fillId="2" borderId="0" xfId="0" applyNumberFormat="1" applyFont="1" applyFill="1" applyBorder="1" applyAlignment="1">
      <alignment vertical="center"/>
    </xf>
    <xf numFmtId="0" fontId="9" fillId="0" borderId="0" xfId="0" applyFont="1" applyFill="1" applyAlignment="1">
      <alignment horizontal="right" vertical="center" indent="2"/>
    </xf>
    <xf numFmtId="0" fontId="3" fillId="19" borderId="0" xfId="0" applyFont="1" applyFill="1" applyAlignment="1" applyProtection="1">
      <alignment vertical="center" textRotation="90"/>
    </xf>
    <xf numFmtId="0" fontId="4" fillId="19" borderId="0" xfId="0" applyFont="1" applyFill="1" applyProtection="1"/>
    <xf numFmtId="0" fontId="4" fillId="19" borderId="0" xfId="0" applyFont="1" applyFill="1" applyBorder="1" applyAlignment="1" applyProtection="1">
      <alignment horizontal="center" vertical="center"/>
    </xf>
    <xf numFmtId="0" fontId="4" fillId="19" borderId="0" xfId="0" applyFont="1" applyFill="1" applyBorder="1" applyProtection="1"/>
    <xf numFmtId="0" fontId="36" fillId="19" borderId="0" xfId="0" applyFont="1" applyFill="1" applyAlignment="1" applyProtection="1">
      <alignment horizontal="left" vertical="center" indent="3"/>
    </xf>
    <xf numFmtId="9" fontId="4" fillId="19" borderId="0" xfId="2" applyFont="1" applyFill="1" applyBorder="1" applyAlignment="1" applyProtection="1">
      <alignment horizontal="center" vertical="center"/>
    </xf>
    <xf numFmtId="0" fontId="4" fillId="19" borderId="0" xfId="0" applyFont="1" applyFill="1" applyBorder="1" applyAlignment="1" applyProtection="1">
      <alignment horizontal="center"/>
    </xf>
    <xf numFmtId="0" fontId="10" fillId="19" borderId="0" xfId="0" applyFont="1" applyFill="1" applyBorder="1" applyAlignment="1" applyProtection="1"/>
    <xf numFmtId="0" fontId="3" fillId="19" borderId="0" xfId="0" applyFont="1" applyFill="1" applyAlignment="1" applyProtection="1">
      <alignment vertical="top" textRotation="90" wrapText="1"/>
    </xf>
    <xf numFmtId="0" fontId="4" fillId="19" borderId="0" xfId="0" applyFont="1" applyFill="1"/>
    <xf numFmtId="0" fontId="4" fillId="19" borderId="0" xfId="0" applyFont="1" applyFill="1" applyBorder="1"/>
    <xf numFmtId="0" fontId="4" fillId="19" borderId="5" xfId="0" applyFont="1" applyFill="1" applyBorder="1"/>
    <xf numFmtId="0" fontId="10" fillId="19" borderId="0" xfId="0" applyFont="1" applyFill="1" applyBorder="1" applyAlignment="1" applyProtection="1">
      <alignment vertical="center" wrapText="1"/>
    </xf>
    <xf numFmtId="0" fontId="4" fillId="19" borderId="0" xfId="0" applyFont="1" applyFill="1" applyAlignment="1" applyProtection="1">
      <alignment horizontal="center" vertical="center" wrapText="1"/>
    </xf>
    <xf numFmtId="9" fontId="35" fillId="19" borderId="13" xfId="2" applyFont="1" applyFill="1" applyBorder="1" applyAlignment="1" applyProtection="1">
      <alignment horizontal="right" vertical="center"/>
    </xf>
    <xf numFmtId="9" fontId="35" fillId="19" borderId="0" xfId="2" applyFont="1" applyFill="1" applyBorder="1" applyAlignment="1" applyProtection="1">
      <alignment horizontal="left" vertical="center"/>
    </xf>
    <xf numFmtId="0" fontId="6" fillId="19" borderId="0" xfId="0" applyFont="1" applyFill="1"/>
    <xf numFmtId="0" fontId="6" fillId="19" borderId="0" xfId="0" applyFont="1" applyFill="1" applyProtection="1"/>
    <xf numFmtId="0" fontId="22" fillId="19" borderId="0" xfId="0" applyFont="1" applyFill="1" applyAlignment="1" applyProtection="1">
      <alignment horizontal="center"/>
    </xf>
    <xf numFmtId="0" fontId="10" fillId="19" borderId="0" xfId="0" applyFont="1" applyFill="1" applyAlignment="1" applyProtection="1">
      <alignment horizontal="center"/>
    </xf>
    <xf numFmtId="0" fontId="10" fillId="19" borderId="0" xfId="0" applyFont="1" applyFill="1" applyAlignment="1" applyProtection="1">
      <alignment horizontal="center" vertical="center"/>
    </xf>
    <xf numFmtId="0" fontId="10" fillId="19" borderId="0" xfId="0" applyFont="1" applyFill="1" applyProtection="1"/>
    <xf numFmtId="0" fontId="20" fillId="19" borderId="0" xfId="0" applyFont="1" applyFill="1" applyAlignment="1" applyProtection="1">
      <alignment vertical="center"/>
    </xf>
    <xf numFmtId="20" fontId="4" fillId="19" borderId="0" xfId="0" applyNumberFormat="1" applyFont="1" applyFill="1" applyAlignment="1" applyProtection="1">
      <alignment horizontal="right"/>
    </xf>
    <xf numFmtId="0" fontId="5" fillId="19" borderId="0" xfId="0" applyFont="1" applyFill="1" applyAlignment="1" applyProtection="1">
      <alignment textRotation="90"/>
    </xf>
    <xf numFmtId="0" fontId="6" fillId="19" borderId="13" xfId="0" applyFont="1" applyFill="1" applyBorder="1" applyProtection="1"/>
    <xf numFmtId="9" fontId="4" fillId="19" borderId="0" xfId="0" applyNumberFormat="1" applyFont="1" applyFill="1" applyProtection="1"/>
    <xf numFmtId="0" fontId="4" fillId="19" borderId="0" xfId="0" applyFont="1" applyFill="1" applyAlignment="1" applyProtection="1">
      <alignment textRotation="90"/>
    </xf>
    <xf numFmtId="0" fontId="4" fillId="19" borderId="0" xfId="0" applyFont="1" applyFill="1" applyAlignment="1" applyProtection="1">
      <alignment textRotation="90" wrapText="1"/>
    </xf>
    <xf numFmtId="9" fontId="4" fillId="19" borderId="0" xfId="0" applyNumberFormat="1" applyFont="1" applyFill="1" applyAlignment="1" applyProtection="1">
      <alignment textRotation="90"/>
    </xf>
    <xf numFmtId="0" fontId="4" fillId="19" borderId="0" xfId="0" applyFont="1" applyFill="1" applyAlignment="1" applyProtection="1">
      <alignment horizontal="center" textRotation="90" wrapText="1"/>
    </xf>
    <xf numFmtId="20" fontId="4" fillId="19" borderId="0" xfId="0" applyNumberFormat="1" applyFont="1" applyFill="1" applyAlignment="1" applyProtection="1"/>
    <xf numFmtId="176" fontId="4" fillId="19" borderId="0" xfId="0" applyNumberFormat="1" applyFont="1" applyFill="1" applyAlignment="1" applyProtection="1"/>
    <xf numFmtId="0" fontId="4" fillId="19" borderId="0" xfId="0" applyFont="1" applyFill="1" applyAlignment="1" applyProtection="1"/>
    <xf numFmtId="9" fontId="4" fillId="19" borderId="0" xfId="0" applyNumberFormat="1" applyFont="1" applyFill="1" applyAlignment="1" applyProtection="1"/>
    <xf numFmtId="20" fontId="6" fillId="19" borderId="0" xfId="0" applyNumberFormat="1" applyFont="1" applyFill="1" applyAlignment="1" applyProtection="1">
      <alignment horizontal="center"/>
    </xf>
    <xf numFmtId="20" fontId="6" fillId="19" borderId="0" xfId="0" applyNumberFormat="1" applyFont="1" applyFill="1" applyProtection="1"/>
    <xf numFmtId="0" fontId="4" fillId="19" borderId="0" xfId="0" applyFont="1" applyFill="1" applyAlignment="1" applyProtection="1">
      <alignment horizontal="center"/>
    </xf>
    <xf numFmtId="0" fontId="6" fillId="19" borderId="0" xfId="0" quotePrefix="1" applyFont="1" applyFill="1" applyAlignment="1" applyProtection="1">
      <alignment horizontal="center"/>
    </xf>
    <xf numFmtId="164" fontId="6" fillId="19" borderId="0" xfId="0" applyNumberFormat="1" applyFont="1" applyFill="1" applyProtection="1"/>
    <xf numFmtId="164" fontId="4" fillId="19" borderId="0" xfId="0" applyNumberFormat="1" applyFont="1" applyFill="1" applyAlignment="1" applyProtection="1"/>
    <xf numFmtId="171" fontId="4" fillId="19" borderId="0" xfId="0" applyNumberFormat="1" applyFont="1" applyFill="1" applyAlignment="1" applyProtection="1"/>
    <xf numFmtId="171" fontId="25" fillId="19" borderId="0" xfId="0" applyNumberFormat="1" applyFont="1" applyFill="1" applyAlignment="1" applyProtection="1"/>
    <xf numFmtId="164" fontId="25" fillId="19" borderId="0" xfId="0" applyNumberFormat="1" applyFont="1" applyFill="1" applyAlignment="1" applyProtection="1"/>
    <xf numFmtId="0" fontId="27" fillId="19" borderId="0" xfId="0" applyFont="1" applyFill="1" applyBorder="1" applyAlignment="1" applyProtection="1">
      <alignment horizontal="left"/>
    </xf>
    <xf numFmtId="0" fontId="4" fillId="19" borderId="0" xfId="0" applyFont="1" applyFill="1" applyBorder="1" applyAlignment="1" applyProtection="1"/>
    <xf numFmtId="9" fontId="4" fillId="19" borderId="0" xfId="0" applyNumberFormat="1" applyFont="1" applyFill="1" applyBorder="1" applyAlignment="1" applyProtection="1"/>
    <xf numFmtId="0" fontId="10" fillId="19" borderId="0" xfId="0" applyFont="1" applyFill="1" applyBorder="1" applyProtection="1"/>
    <xf numFmtId="0" fontId="6" fillId="19" borderId="0" xfId="0" applyFont="1" applyFill="1" applyBorder="1" applyProtection="1"/>
    <xf numFmtId="20" fontId="4" fillId="19" borderId="5" xfId="0" applyNumberFormat="1" applyFont="1" applyFill="1" applyBorder="1" applyAlignment="1" applyProtection="1"/>
    <xf numFmtId="20" fontId="6" fillId="19" borderId="0" xfId="0" applyNumberFormat="1" applyFont="1" applyFill="1" applyAlignment="1" applyProtection="1"/>
    <xf numFmtId="0" fontId="9" fillId="19" borderId="0" xfId="0" applyFont="1" applyFill="1" applyProtection="1"/>
    <xf numFmtId="20" fontId="6" fillId="19" borderId="5" xfId="0" applyNumberFormat="1" applyFont="1" applyFill="1" applyBorder="1" applyAlignment="1" applyProtection="1"/>
    <xf numFmtId="0" fontId="27" fillId="19" borderId="0" xfId="0" applyFont="1" applyFill="1" applyBorder="1" applyAlignment="1" applyProtection="1"/>
    <xf numFmtId="0" fontId="6" fillId="19" borderId="0" xfId="0" applyFont="1" applyFill="1" applyAlignment="1" applyProtection="1">
      <alignment horizontal="center"/>
    </xf>
    <xf numFmtId="167" fontId="6" fillId="19" borderId="0" xfId="0" applyNumberFormat="1" applyFont="1" applyFill="1" applyProtection="1"/>
    <xf numFmtId="0" fontId="29" fillId="19" borderId="0" xfId="0" applyFont="1" applyFill="1" applyAlignment="1" applyProtection="1">
      <alignment horizontal="center"/>
    </xf>
    <xf numFmtId="0" fontId="28" fillId="19" borderId="0" xfId="0" applyFont="1" applyFill="1" applyAlignment="1" applyProtection="1">
      <alignment vertical="center"/>
    </xf>
    <xf numFmtId="0" fontId="9" fillId="19" borderId="0" xfId="0" applyFont="1" applyFill="1" applyAlignment="1" applyProtection="1">
      <alignment vertical="center"/>
    </xf>
    <xf numFmtId="20" fontId="6" fillId="19" borderId="0" xfId="0" applyNumberFormat="1" applyFont="1" applyFill="1" applyAlignment="1" applyProtection="1">
      <alignment vertical="center"/>
    </xf>
    <xf numFmtId="0" fontId="6" fillId="19" borderId="0" xfId="0" applyFont="1" applyFill="1" applyAlignment="1" applyProtection="1">
      <alignment vertical="center"/>
    </xf>
    <xf numFmtId="20" fontId="6" fillId="19" borderId="0" xfId="0" applyNumberFormat="1" applyFont="1" applyFill="1" applyAlignment="1" applyProtection="1">
      <alignment horizontal="right" vertical="center"/>
    </xf>
    <xf numFmtId="9" fontId="6" fillId="19" borderId="0" xfId="0" applyNumberFormat="1" applyFont="1" applyFill="1" applyAlignment="1" applyProtection="1">
      <alignment vertical="center"/>
    </xf>
    <xf numFmtId="0" fontId="6" fillId="19" borderId="13" xfId="0" applyFont="1" applyFill="1" applyBorder="1" applyAlignment="1" applyProtection="1">
      <alignment vertical="center"/>
    </xf>
    <xf numFmtId="0" fontId="6" fillId="19" borderId="0" xfId="0" applyFont="1" applyFill="1" applyAlignment="1" applyProtection="1">
      <alignment horizontal="center" vertical="center"/>
    </xf>
    <xf numFmtId="20" fontId="6" fillId="19" borderId="0" xfId="0" applyNumberFormat="1" applyFont="1" applyFill="1" applyAlignment="1" applyProtection="1">
      <alignment horizontal="center" vertical="center"/>
    </xf>
    <xf numFmtId="164" fontId="6" fillId="19" borderId="0" xfId="0" applyNumberFormat="1" applyFont="1" applyFill="1" applyAlignment="1" applyProtection="1">
      <alignment vertical="center"/>
    </xf>
    <xf numFmtId="171" fontId="6" fillId="19" borderId="0" xfId="0" applyNumberFormat="1" applyFont="1" applyFill="1" applyAlignment="1" applyProtection="1">
      <alignment vertical="center"/>
    </xf>
    <xf numFmtId="171" fontId="9" fillId="19" borderId="0" xfId="0" applyNumberFormat="1" applyFont="1" applyFill="1" applyAlignment="1" applyProtection="1">
      <alignment vertical="center"/>
    </xf>
    <xf numFmtId="164" fontId="9" fillId="19" borderId="0" xfId="0" applyNumberFormat="1" applyFont="1" applyFill="1" applyAlignment="1" applyProtection="1">
      <alignment vertical="center"/>
    </xf>
    <xf numFmtId="16" fontId="6" fillId="19" borderId="0" xfId="0" quotePrefix="1" applyNumberFormat="1" applyFont="1" applyFill="1" applyAlignment="1" applyProtection="1">
      <alignment horizontal="center" vertical="center"/>
    </xf>
    <xf numFmtId="0" fontId="29" fillId="19" borderId="0" xfId="0" applyFont="1" applyFill="1" applyBorder="1" applyAlignment="1" applyProtection="1"/>
    <xf numFmtId="167" fontId="4" fillId="19" borderId="0" xfId="0" applyNumberFormat="1" applyFont="1" applyFill="1" applyProtection="1"/>
    <xf numFmtId="9" fontId="10" fillId="19" borderId="0" xfId="0" applyNumberFormat="1" applyFont="1" applyFill="1" applyAlignment="1" applyProtection="1"/>
    <xf numFmtId="20" fontId="6" fillId="19" borderId="5" xfId="0" applyNumberFormat="1" applyFont="1" applyFill="1" applyBorder="1" applyAlignment="1" applyProtection="1">
      <alignment vertical="center"/>
    </xf>
    <xf numFmtId="0" fontId="10" fillId="19" borderId="0" xfId="0" applyFont="1" applyFill="1" applyAlignment="1" applyProtection="1"/>
    <xf numFmtId="0" fontId="5" fillId="19" borderId="0" xfId="0" applyFont="1" applyFill="1" applyProtection="1"/>
    <xf numFmtId="164" fontId="6" fillId="19" borderId="0" xfId="0" applyNumberFormat="1" applyFont="1" applyFill="1" applyAlignment="1" applyProtection="1">
      <alignment horizontal="center"/>
    </xf>
    <xf numFmtId="0" fontId="13" fillId="19" borderId="0" xfId="0" applyFont="1" applyFill="1" applyAlignment="1" applyProtection="1">
      <alignment horizontal="center" vertical="center"/>
    </xf>
    <xf numFmtId="0" fontId="6" fillId="19" borderId="0" xfId="0" applyFont="1" applyFill="1" applyBorder="1" applyAlignment="1" applyProtection="1"/>
    <xf numFmtId="0" fontId="9" fillId="19" borderId="0" xfId="0" applyFont="1" applyFill="1" applyAlignment="1" applyProtection="1">
      <alignment horizontal="left"/>
    </xf>
    <xf numFmtId="0" fontId="19" fillId="19" borderId="0" xfId="0" applyFont="1" applyFill="1" applyAlignment="1" applyProtection="1">
      <alignment horizontal="center"/>
    </xf>
    <xf numFmtId="0" fontId="9" fillId="19" borderId="0" xfId="0" applyFont="1" applyFill="1" applyAlignment="1" applyProtection="1"/>
    <xf numFmtId="0" fontId="6" fillId="19" borderId="0" xfId="0" applyFont="1" applyFill="1" applyAlignment="1" applyProtection="1">
      <alignment horizontal="center" textRotation="90" wrapText="1"/>
    </xf>
    <xf numFmtId="0" fontId="30" fillId="19" borderId="0" xfId="0" applyFont="1" applyFill="1" applyAlignment="1" applyProtection="1">
      <alignment horizontal="center"/>
    </xf>
    <xf numFmtId="0" fontId="25" fillId="19" borderId="0" xfId="0" applyFont="1" applyFill="1" applyAlignment="1" applyProtection="1"/>
    <xf numFmtId="0" fontId="26" fillId="19" borderId="0" xfId="0" applyFont="1" applyFill="1" applyProtection="1"/>
    <xf numFmtId="0" fontId="31" fillId="19" borderId="0" xfId="0" applyFont="1" applyFill="1" applyAlignment="1" applyProtection="1"/>
    <xf numFmtId="9" fontId="26" fillId="19" borderId="0" xfId="2" applyFont="1" applyFill="1" applyAlignment="1" applyProtection="1">
      <alignment horizontal="center"/>
    </xf>
    <xf numFmtId="0" fontId="9" fillId="19" borderId="0" xfId="0" applyFont="1" applyFill="1" applyAlignment="1" applyProtection="1">
      <alignment horizontal="center"/>
    </xf>
    <xf numFmtId="9" fontId="6" fillId="19" borderId="0" xfId="2" applyFont="1" applyFill="1" applyAlignment="1" applyProtection="1">
      <alignment horizontal="left" vertical="center"/>
    </xf>
    <xf numFmtId="0" fontId="6" fillId="19" borderId="0" xfId="0" applyFont="1" applyFill="1" applyAlignment="1" applyProtection="1">
      <alignment horizontal="left"/>
    </xf>
    <xf numFmtId="0" fontId="9" fillId="19" borderId="0" xfId="0" applyFont="1" applyFill="1" applyAlignment="1" applyProtection="1">
      <alignment horizontal="right" indent="1"/>
    </xf>
    <xf numFmtId="9" fontId="9" fillId="19" borderId="0" xfId="2" applyFont="1" applyFill="1" applyBorder="1" applyAlignment="1" applyProtection="1">
      <alignment horizontal="center"/>
    </xf>
    <xf numFmtId="0" fontId="9" fillId="19" borderId="0" xfId="0" applyFont="1" applyFill="1" applyAlignment="1" applyProtection="1">
      <alignment horizontal="right"/>
    </xf>
    <xf numFmtId="175" fontId="19" fillId="19" borderId="0" xfId="0" applyNumberFormat="1" applyFont="1" applyFill="1" applyBorder="1" applyAlignment="1" applyProtection="1">
      <alignment horizontal="center"/>
    </xf>
    <xf numFmtId="0" fontId="10" fillId="19" borderId="0" xfId="0" applyFont="1" applyFill="1" applyAlignment="1" applyProtection="1">
      <alignment horizontal="right"/>
    </xf>
    <xf numFmtId="0" fontId="25" fillId="19" borderId="0" xfId="0" applyFont="1" applyFill="1" applyProtection="1"/>
    <xf numFmtId="0" fontId="22" fillId="19" borderId="0" xfId="0" applyFont="1" applyFill="1" applyAlignment="1" applyProtection="1">
      <alignment horizontal="center" vertical="top"/>
    </xf>
    <xf numFmtId="164" fontId="6" fillId="19" borderId="0" xfId="0" applyNumberFormat="1" applyFont="1" applyFill="1" applyAlignment="1" applyProtection="1">
      <alignment horizontal="center" vertical="center"/>
    </xf>
    <xf numFmtId="0" fontId="27" fillId="19" borderId="0" xfId="0" applyFont="1" applyFill="1" applyBorder="1" applyAlignment="1" applyProtection="1">
      <alignment horizontal="right"/>
    </xf>
    <xf numFmtId="0" fontId="27" fillId="19" borderId="0" xfId="0" applyFont="1" applyFill="1" applyAlignment="1" applyProtection="1">
      <alignment horizontal="center"/>
    </xf>
    <xf numFmtId="0" fontId="27" fillId="19" borderId="0" xfId="0" applyFont="1" applyFill="1" applyAlignment="1" applyProtection="1">
      <alignment horizontal="right"/>
    </xf>
    <xf numFmtId="175" fontId="6" fillId="19" borderId="0" xfId="0" applyNumberFormat="1" applyFont="1" applyFill="1" applyProtection="1"/>
    <xf numFmtId="0" fontId="19" fillId="19" borderId="0" xfId="0" applyFont="1" applyFill="1" applyProtection="1"/>
    <xf numFmtId="0" fontId="6" fillId="19" borderId="0" xfId="0" applyFont="1" applyFill="1" applyBorder="1" applyAlignment="1" applyProtection="1">
      <alignment horizontal="left" indent="1"/>
    </xf>
    <xf numFmtId="0" fontId="9" fillId="19" borderId="0" xfId="0" applyFont="1" applyFill="1" applyBorder="1" applyAlignment="1" applyProtection="1">
      <alignment horizontal="left" indent="1"/>
    </xf>
    <xf numFmtId="0" fontId="9" fillId="19" borderId="0" xfId="0" applyFont="1" applyFill="1" applyBorder="1" applyProtection="1"/>
    <xf numFmtId="0" fontId="9" fillId="19" borderId="0" xfId="0" applyFont="1" applyFill="1" applyAlignment="1" applyProtection="1">
      <alignment horizontal="right" indent="2"/>
    </xf>
    <xf numFmtId="0" fontId="9" fillId="19" borderId="0" xfId="0" applyFont="1" applyFill="1" applyBorder="1" applyAlignment="1" applyProtection="1">
      <alignment horizontal="right" indent="2"/>
    </xf>
    <xf numFmtId="9" fontId="26" fillId="19" borderId="0" xfId="2" applyFont="1" applyFill="1" applyAlignment="1" applyProtection="1">
      <alignment horizontal="center" vertical="center"/>
    </xf>
    <xf numFmtId="0" fontId="26" fillId="19" borderId="0" xfId="0" applyFont="1" applyFill="1" applyAlignment="1" applyProtection="1">
      <alignment horizontal="center" vertical="center"/>
    </xf>
    <xf numFmtId="164" fontId="10" fillId="19" borderId="0" xfId="0" applyNumberFormat="1" applyFont="1" applyFill="1" applyBorder="1" applyAlignment="1" applyProtection="1"/>
    <xf numFmtId="0" fontId="17" fillId="19" borderId="0" xfId="0" applyFont="1" applyFill="1" applyAlignment="1">
      <alignment horizontal="right" vertical="top"/>
    </xf>
    <xf numFmtId="0" fontId="4" fillId="19" borderId="0" xfId="0" applyFont="1" applyFill="1" applyAlignment="1" applyProtection="1">
      <alignment horizontal="right" textRotation="90" wrapText="1"/>
    </xf>
    <xf numFmtId="0" fontId="13" fillId="19" borderId="0" xfId="0" applyFont="1" applyFill="1" applyBorder="1" applyAlignment="1" applyProtection="1">
      <alignment horizontal="right" indent="2"/>
    </xf>
    <xf numFmtId="0" fontId="39" fillId="19" borderId="0" xfId="0" applyFont="1" applyFill="1" applyProtection="1"/>
    <xf numFmtId="0" fontId="27" fillId="19" borderId="0" xfId="0" applyFont="1" applyFill="1" applyAlignment="1" applyProtection="1">
      <alignment horizontal="left" indent="1"/>
    </xf>
    <xf numFmtId="176" fontId="6" fillId="19" borderId="0" xfId="0" applyNumberFormat="1" applyFont="1" applyFill="1" applyAlignment="1" applyProtection="1">
      <protection hidden="1"/>
    </xf>
    <xf numFmtId="20" fontId="4" fillId="19" borderId="0" xfId="0" applyNumberFormat="1" applyFont="1" applyFill="1" applyAlignment="1" applyProtection="1">
      <protection hidden="1"/>
    </xf>
    <xf numFmtId="0" fontId="4" fillId="19" borderId="0" xfId="0" applyFont="1" applyFill="1" applyProtection="1">
      <protection hidden="1"/>
    </xf>
    <xf numFmtId="0" fontId="6" fillId="19" borderId="0" xfId="0" applyFont="1" applyFill="1" applyProtection="1">
      <protection hidden="1"/>
    </xf>
    <xf numFmtId="9" fontId="5" fillId="19" borderId="0" xfId="0" applyNumberFormat="1" applyFont="1" applyFill="1" applyAlignment="1" applyProtection="1">
      <protection hidden="1"/>
    </xf>
    <xf numFmtId="176" fontId="4" fillId="19" borderId="0" xfId="0" applyNumberFormat="1" applyFont="1" applyFill="1" applyAlignment="1" applyProtection="1">
      <protection hidden="1"/>
    </xf>
    <xf numFmtId="0" fontId="4" fillId="19" borderId="0" xfId="0" applyFont="1" applyFill="1" applyAlignment="1" applyProtection="1">
      <protection hidden="1"/>
    </xf>
    <xf numFmtId="20" fontId="6" fillId="19" borderId="17" xfId="0" applyNumberFormat="1" applyFont="1" applyFill="1" applyBorder="1" applyAlignment="1" applyProtection="1">
      <alignment horizontal="right"/>
      <protection hidden="1"/>
    </xf>
    <xf numFmtId="176" fontId="24" fillId="19" borderId="0" xfId="0" applyNumberFormat="1" applyFont="1" applyFill="1" applyAlignment="1" applyProtection="1">
      <protection hidden="1"/>
    </xf>
    <xf numFmtId="0" fontId="5" fillId="19" borderId="0" xfId="0" applyFont="1" applyFill="1" applyAlignment="1" applyProtection="1">
      <alignment horizontal="center"/>
      <protection hidden="1"/>
    </xf>
    <xf numFmtId="20" fontId="6" fillId="19" borderId="0" xfId="0" applyNumberFormat="1" applyFont="1" applyFill="1" applyBorder="1" applyProtection="1">
      <protection hidden="1"/>
    </xf>
    <xf numFmtId="9" fontId="4" fillId="19" borderId="0" xfId="0" applyNumberFormat="1" applyFont="1" applyFill="1" applyAlignment="1" applyProtection="1">
      <protection hidden="1"/>
    </xf>
    <xf numFmtId="176" fontId="25" fillId="19" borderId="0" xfId="0" applyNumberFormat="1" applyFont="1" applyFill="1" applyAlignment="1" applyProtection="1">
      <protection hidden="1"/>
    </xf>
    <xf numFmtId="0" fontId="4" fillId="19" borderId="0" xfId="0" applyFont="1" applyFill="1" applyAlignment="1" applyProtection="1">
      <alignment horizontal="center"/>
      <protection hidden="1"/>
    </xf>
    <xf numFmtId="0" fontId="6" fillId="19" borderId="0" xfId="0" quotePrefix="1" applyFont="1" applyFill="1" applyAlignment="1" applyProtection="1">
      <alignment horizontal="center"/>
      <protection hidden="1"/>
    </xf>
    <xf numFmtId="20" fontId="6" fillId="19" borderId="0" xfId="0" applyNumberFormat="1" applyFont="1" applyFill="1" applyAlignment="1" applyProtection="1">
      <alignment horizontal="right"/>
      <protection hidden="1"/>
    </xf>
    <xf numFmtId="176" fontId="6" fillId="19" borderId="0" xfId="0" applyNumberFormat="1" applyFont="1" applyFill="1" applyProtection="1">
      <protection hidden="1"/>
    </xf>
    <xf numFmtId="164" fontId="6" fillId="19" borderId="0" xfId="0" applyNumberFormat="1" applyFont="1" applyFill="1" applyProtection="1">
      <protection hidden="1"/>
    </xf>
    <xf numFmtId="20" fontId="6" fillId="19" borderId="0" xfId="0" applyNumberFormat="1" applyFont="1" applyFill="1" applyProtection="1">
      <protection hidden="1"/>
    </xf>
    <xf numFmtId="9" fontId="6" fillId="19" borderId="0" xfId="0" applyNumberFormat="1" applyFont="1" applyFill="1" applyAlignment="1" applyProtection="1">
      <protection hidden="1"/>
    </xf>
    <xf numFmtId="171" fontId="6" fillId="19" borderId="0" xfId="0" applyNumberFormat="1" applyFont="1" applyFill="1" applyAlignment="1" applyProtection="1">
      <protection hidden="1"/>
    </xf>
    <xf numFmtId="0" fontId="6" fillId="19" borderId="0" xfId="0" applyFont="1" applyFill="1" applyAlignment="1" applyProtection="1">
      <protection hidden="1"/>
    </xf>
    <xf numFmtId="176" fontId="9" fillId="19" borderId="0" xfId="0" applyNumberFormat="1" applyFont="1" applyFill="1" applyAlignment="1" applyProtection="1">
      <protection hidden="1"/>
    </xf>
    <xf numFmtId="0" fontId="6" fillId="19" borderId="0" xfId="0" applyFont="1" applyFill="1" applyAlignment="1" applyProtection="1">
      <alignment horizontal="center"/>
      <protection hidden="1"/>
    </xf>
    <xf numFmtId="20" fontId="4" fillId="19" borderId="0" xfId="0" applyNumberFormat="1" applyFont="1" applyFill="1" applyAlignment="1" applyProtection="1">
      <alignment horizontal="right"/>
      <protection hidden="1"/>
    </xf>
    <xf numFmtId="0" fontId="27" fillId="19" borderId="0" xfId="0" applyFont="1" applyFill="1" applyBorder="1" applyAlignment="1" applyProtection="1">
      <protection hidden="1"/>
    </xf>
    <xf numFmtId="0" fontId="27" fillId="19" borderId="0" xfId="0" applyFont="1" applyFill="1" applyBorder="1" applyAlignment="1" applyProtection="1">
      <alignment horizontal="left"/>
      <protection hidden="1"/>
    </xf>
    <xf numFmtId="20" fontId="6" fillId="19" borderId="0" xfId="0" applyNumberFormat="1" applyFont="1" applyFill="1" applyAlignment="1" applyProtection="1">
      <alignment horizontal="right" vertical="center"/>
      <protection hidden="1"/>
    </xf>
    <xf numFmtId="0" fontId="6" fillId="19" borderId="0" xfId="0" applyFont="1" applyFill="1" applyAlignment="1" applyProtection="1">
      <alignment vertical="center"/>
      <protection hidden="1"/>
    </xf>
    <xf numFmtId="9" fontId="6" fillId="19" borderId="0" xfId="0" applyNumberFormat="1" applyFont="1" applyFill="1" applyAlignment="1" applyProtection="1">
      <alignment vertical="center"/>
      <protection hidden="1"/>
    </xf>
    <xf numFmtId="20" fontId="9" fillId="19" borderId="0" xfId="0" applyNumberFormat="1" applyFont="1" applyFill="1" applyAlignment="1" applyProtection="1">
      <alignment horizontal="right" vertical="center"/>
      <protection hidden="1"/>
    </xf>
    <xf numFmtId="176" fontId="6" fillId="19" borderId="0" xfId="0" applyNumberFormat="1" applyFont="1" applyFill="1" applyAlignment="1" applyProtection="1">
      <alignment vertical="center"/>
      <protection hidden="1"/>
    </xf>
    <xf numFmtId="176" fontId="9" fillId="19" borderId="0" xfId="0" applyNumberFormat="1" applyFont="1" applyFill="1" applyAlignment="1" applyProtection="1">
      <alignment vertical="center"/>
      <protection hidden="1"/>
    </xf>
    <xf numFmtId="0" fontId="6" fillId="19" borderId="0" xfId="0" applyFont="1" applyFill="1" applyAlignment="1" applyProtection="1">
      <alignment horizontal="center" vertical="center"/>
      <protection hidden="1"/>
    </xf>
    <xf numFmtId="20" fontId="9" fillId="19" borderId="0" xfId="0" applyNumberFormat="1" applyFont="1" applyFill="1" applyAlignment="1" applyProtection="1">
      <alignment vertical="center"/>
      <protection hidden="1"/>
    </xf>
    <xf numFmtId="0" fontId="6" fillId="19" borderId="0" xfId="0" applyFont="1" applyFill="1" applyAlignment="1" applyProtection="1">
      <alignment horizontal="right" vertical="center"/>
      <protection hidden="1"/>
    </xf>
    <xf numFmtId="0" fontId="6" fillId="19" borderId="0" xfId="0" quotePrefix="1" applyNumberFormat="1" applyFont="1" applyFill="1" applyAlignment="1" applyProtection="1">
      <alignment horizontal="center" vertical="center"/>
      <protection hidden="1"/>
    </xf>
    <xf numFmtId="20" fontId="6" fillId="19" borderId="0" xfId="0" applyNumberFormat="1" applyFont="1" applyFill="1" applyBorder="1" applyAlignment="1" applyProtection="1">
      <alignment vertical="center"/>
      <protection hidden="1"/>
    </xf>
    <xf numFmtId="20" fontId="6" fillId="19" borderId="0" xfId="0" applyNumberFormat="1" applyFont="1" applyFill="1" applyAlignment="1" applyProtection="1">
      <alignment vertical="center"/>
      <protection hidden="1"/>
    </xf>
    <xf numFmtId="0" fontId="9" fillId="19" borderId="0" xfId="0" applyFont="1" applyFill="1" applyAlignment="1" applyProtection="1">
      <alignment horizontal="center" vertical="center"/>
      <protection hidden="1"/>
    </xf>
    <xf numFmtId="164" fontId="6" fillId="19" borderId="0" xfId="0" applyNumberFormat="1" applyFont="1" applyFill="1" applyAlignment="1" applyProtection="1">
      <alignment vertical="center"/>
      <protection hidden="1"/>
    </xf>
    <xf numFmtId="0" fontId="9" fillId="19" borderId="0" xfId="0" applyFont="1" applyFill="1" applyAlignment="1" applyProtection="1">
      <alignment horizontal="right" vertical="center"/>
      <protection hidden="1"/>
    </xf>
    <xf numFmtId="0" fontId="6" fillId="19" borderId="0" xfId="0" quotePrefix="1" applyFont="1" applyFill="1" applyAlignment="1" applyProtection="1">
      <alignment horizontal="center" vertical="center"/>
      <protection hidden="1"/>
    </xf>
    <xf numFmtId="0" fontId="6" fillId="19" borderId="0" xfId="0" quotePrefix="1" applyFont="1" applyFill="1" applyBorder="1" applyAlignment="1" applyProtection="1">
      <alignment horizontal="center" vertical="center"/>
      <protection hidden="1"/>
    </xf>
    <xf numFmtId="1" fontId="9" fillId="19" borderId="0" xfId="0" applyNumberFormat="1" applyFont="1" applyFill="1" applyAlignment="1" applyProtection="1">
      <alignment horizontal="center" vertical="center"/>
      <protection hidden="1"/>
    </xf>
    <xf numFmtId="171" fontId="6" fillId="19" borderId="0" xfId="0" applyNumberFormat="1" applyFont="1" applyFill="1" applyAlignment="1" applyProtection="1">
      <alignment vertical="center"/>
      <protection hidden="1"/>
    </xf>
    <xf numFmtId="171" fontId="9" fillId="19" borderId="0" xfId="0" applyNumberFormat="1" applyFont="1" applyFill="1" applyAlignment="1" applyProtection="1">
      <alignment vertical="center"/>
      <protection hidden="1"/>
    </xf>
    <xf numFmtId="164" fontId="9" fillId="19" borderId="0" xfId="0" applyNumberFormat="1" applyFont="1" applyFill="1" applyAlignment="1" applyProtection="1">
      <alignment vertical="center"/>
      <protection hidden="1"/>
    </xf>
    <xf numFmtId="1" fontId="9" fillId="19" borderId="0" xfId="0" applyNumberFormat="1" applyFont="1" applyFill="1" applyAlignment="1" applyProtection="1">
      <alignment vertical="center"/>
      <protection hidden="1"/>
    </xf>
    <xf numFmtId="20" fontId="6" fillId="19" borderId="0" xfId="0" applyNumberFormat="1" applyFont="1" applyFill="1" applyAlignment="1" applyProtection="1">
      <alignment horizontal="center" vertical="center"/>
      <protection hidden="1"/>
    </xf>
    <xf numFmtId="173" fontId="6" fillId="19" borderId="0" xfId="0" applyNumberFormat="1" applyFont="1" applyFill="1" applyAlignment="1" applyProtection="1">
      <alignment vertical="center"/>
      <protection hidden="1"/>
    </xf>
    <xf numFmtId="171" fontId="9" fillId="19" borderId="0" xfId="0" applyNumberFormat="1" applyFont="1" applyFill="1" applyAlignment="1" applyProtection="1">
      <protection hidden="1"/>
    </xf>
    <xf numFmtId="164" fontId="9" fillId="19" borderId="0" xfId="0" applyNumberFormat="1" applyFont="1" applyFill="1" applyAlignment="1" applyProtection="1">
      <protection hidden="1"/>
    </xf>
    <xf numFmtId="1" fontId="9" fillId="19" borderId="0" xfId="0" applyNumberFormat="1" applyFont="1" applyFill="1" applyAlignment="1" applyProtection="1">
      <protection hidden="1"/>
    </xf>
    <xf numFmtId="20" fontId="6" fillId="19" borderId="0" xfId="0" quotePrefix="1" applyNumberFormat="1" applyFont="1" applyFill="1" applyAlignment="1" applyProtection="1">
      <alignment horizontal="center"/>
      <protection hidden="1"/>
    </xf>
    <xf numFmtId="20" fontId="6" fillId="19" borderId="0" xfId="0" applyNumberFormat="1" applyFont="1" applyFill="1" applyAlignment="1" applyProtection="1">
      <alignment horizontal="center"/>
      <protection hidden="1"/>
    </xf>
    <xf numFmtId="9" fontId="6" fillId="19" borderId="0" xfId="2" applyFont="1" applyFill="1" applyAlignment="1" applyProtection="1">
      <alignment vertical="center"/>
      <protection hidden="1"/>
    </xf>
    <xf numFmtId="164" fontId="6" fillId="19" borderId="0" xfId="2" applyNumberFormat="1" applyFont="1" applyFill="1" applyAlignment="1" applyProtection="1">
      <alignment vertical="center"/>
      <protection hidden="1"/>
    </xf>
    <xf numFmtId="0" fontId="6" fillId="19" borderId="0" xfId="2" applyNumberFormat="1" applyFont="1" applyFill="1" applyAlignment="1" applyProtection="1">
      <alignment horizontal="center" vertical="center"/>
      <protection hidden="1"/>
    </xf>
    <xf numFmtId="0" fontId="30" fillId="19" borderId="0" xfId="0" applyFont="1" applyFill="1" applyAlignment="1" applyProtection="1">
      <alignment horizontal="center"/>
      <protection hidden="1"/>
    </xf>
    <xf numFmtId="0" fontId="30" fillId="19" borderId="0" xfId="0" applyFont="1" applyFill="1" applyAlignment="1" applyProtection="1">
      <alignment horizontal="left"/>
      <protection hidden="1"/>
    </xf>
    <xf numFmtId="9" fontId="6" fillId="19" borderId="0" xfId="2" applyFont="1" applyFill="1" applyAlignment="1" applyProtection="1">
      <alignment horizontal="right" vertical="center"/>
      <protection hidden="1"/>
    </xf>
    <xf numFmtId="164" fontId="6" fillId="19" borderId="0" xfId="2" applyNumberFormat="1" applyFont="1" applyFill="1" applyAlignment="1" applyProtection="1">
      <alignment horizontal="center" vertical="center"/>
      <protection hidden="1"/>
    </xf>
    <xf numFmtId="0" fontId="10" fillId="19" borderId="0" xfId="0" applyFont="1" applyFill="1" applyAlignment="1" applyProtection="1">
      <protection hidden="1"/>
    </xf>
    <xf numFmtId="0" fontId="30" fillId="19" borderId="0" xfId="0" applyFont="1" applyFill="1" applyAlignment="1" applyProtection="1">
      <protection hidden="1"/>
    </xf>
    <xf numFmtId="9" fontId="6" fillId="19" borderId="0" xfId="2" applyFont="1" applyFill="1" applyAlignment="1" applyProtection="1">
      <alignment horizontal="left" vertical="center"/>
      <protection hidden="1"/>
    </xf>
    <xf numFmtId="0" fontId="6" fillId="19" borderId="0" xfId="2" applyNumberFormat="1" applyFont="1" applyFill="1" applyBorder="1" applyAlignment="1" applyProtection="1">
      <alignment vertical="center"/>
      <protection hidden="1"/>
    </xf>
    <xf numFmtId="176" fontId="9" fillId="19" borderId="0" xfId="0" applyNumberFormat="1" applyFont="1" applyFill="1" applyAlignment="1" applyProtection="1">
      <alignment horizontal="center" vertical="center"/>
      <protection hidden="1"/>
    </xf>
    <xf numFmtId="164" fontId="6" fillId="19" borderId="0" xfId="0" applyNumberFormat="1" applyFont="1" applyFill="1" applyAlignment="1" applyProtection="1">
      <alignment horizontal="center" vertical="center"/>
      <protection hidden="1"/>
    </xf>
    <xf numFmtId="176" fontId="6" fillId="19" borderId="0" xfId="0" applyNumberFormat="1" applyFont="1" applyFill="1" applyAlignment="1" applyProtection="1">
      <alignment horizontal="center" vertical="center"/>
      <protection hidden="1"/>
    </xf>
    <xf numFmtId="9" fontId="9" fillId="19" borderId="0" xfId="0" applyNumberFormat="1" applyFont="1" applyFill="1" applyAlignment="1" applyProtection="1">
      <alignment vertical="center"/>
      <protection hidden="1"/>
    </xf>
    <xf numFmtId="0" fontId="27" fillId="19" borderId="0" xfId="0" applyFont="1" applyFill="1" applyBorder="1" applyAlignment="1" applyProtection="1">
      <alignment horizontal="left" vertical="center" indent="1"/>
      <protection hidden="1"/>
    </xf>
    <xf numFmtId="0" fontId="3" fillId="18" borderId="0" xfId="0" applyFont="1" applyFill="1" applyAlignment="1" applyProtection="1">
      <alignment vertical="center" textRotation="90"/>
      <protection locked="0"/>
    </xf>
    <xf numFmtId="176" fontId="6" fillId="19" borderId="0" xfId="0" applyNumberFormat="1" applyFont="1" applyFill="1" applyAlignment="1" applyProtection="1">
      <alignment horizontal="right" vertical="center"/>
      <protection hidden="1"/>
    </xf>
    <xf numFmtId="0" fontId="40" fillId="19" borderId="23" xfId="0" applyFont="1" applyFill="1" applyBorder="1" applyAlignment="1" applyProtection="1">
      <alignment horizontal="left" vertical="top" wrapText="1" indent="1"/>
    </xf>
    <xf numFmtId="0" fontId="40" fillId="19" borderId="24" xfId="0" applyFont="1" applyFill="1" applyBorder="1" applyAlignment="1" applyProtection="1">
      <alignment horizontal="left" vertical="top" wrapText="1" indent="1"/>
    </xf>
    <xf numFmtId="0" fontId="42" fillId="0" borderId="25" xfId="0" applyFont="1" applyBorder="1" applyAlignment="1">
      <alignment horizontal="left" vertical="top" wrapText="1" indent="1"/>
    </xf>
    <xf numFmtId="0" fontId="25" fillId="19" borderId="0"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protection locked="0"/>
    </xf>
    <xf numFmtId="176" fontId="38" fillId="9" borderId="18" xfId="2" applyNumberFormat="1" applyFont="1" applyFill="1" applyBorder="1" applyAlignment="1" applyProtection="1">
      <alignment horizontal="center" vertical="center"/>
      <protection locked="0"/>
    </xf>
    <xf numFmtId="176" fontId="38" fillId="9" borderId="19" xfId="2" applyNumberFormat="1" applyFont="1" applyFill="1" applyBorder="1" applyAlignment="1" applyProtection="1">
      <alignment horizontal="center" vertical="center"/>
      <protection locked="0"/>
    </xf>
    <xf numFmtId="176" fontId="37" fillId="9" borderId="18" xfId="2" applyNumberFormat="1" applyFont="1" applyFill="1" applyBorder="1" applyAlignment="1" applyProtection="1">
      <alignment horizontal="center" vertical="center"/>
      <protection locked="0"/>
    </xf>
    <xf numFmtId="176" fontId="37" fillId="9" borderId="19" xfId="2" applyNumberFormat="1" applyFont="1" applyFill="1" applyBorder="1" applyAlignment="1" applyProtection="1">
      <alignment horizontal="center" vertical="center"/>
      <protection locked="0"/>
    </xf>
    <xf numFmtId="9" fontId="37" fillId="19" borderId="18" xfId="2" applyFont="1" applyFill="1" applyBorder="1" applyAlignment="1" applyProtection="1">
      <alignment horizontal="center" vertical="center"/>
      <protection locked="0"/>
    </xf>
    <xf numFmtId="9" fontId="37" fillId="19" borderId="19" xfId="2" applyFont="1" applyFill="1" applyBorder="1" applyAlignment="1" applyProtection="1">
      <alignment horizontal="center" vertical="center"/>
      <protection locked="0"/>
    </xf>
    <xf numFmtId="0" fontId="27" fillId="19" borderId="1" xfId="0" applyFont="1" applyFill="1" applyBorder="1" applyAlignment="1">
      <alignment horizontal="left" vertical="center" wrapText="1" indent="1"/>
    </xf>
    <xf numFmtId="0" fontId="27" fillId="19" borderId="0" xfId="0" applyFont="1" applyFill="1" applyBorder="1" applyAlignment="1">
      <alignment horizontal="left" vertical="center" wrapText="1" indent="1"/>
    </xf>
    <xf numFmtId="9" fontId="4" fillId="0" borderId="20" xfId="0" applyNumberFormat="1" applyFont="1" applyBorder="1" applyAlignment="1" applyProtection="1">
      <alignment horizontal="center" vertical="center"/>
      <protection locked="0"/>
    </xf>
    <xf numFmtId="9" fontId="4" fillId="0" borderId="21" xfId="0" applyNumberFormat="1" applyFont="1" applyBorder="1" applyAlignment="1" applyProtection="1">
      <alignment horizontal="center" vertical="center"/>
      <protection locked="0"/>
    </xf>
    <xf numFmtId="9" fontId="4" fillId="0" borderId="22" xfId="0" applyNumberFormat="1" applyFont="1" applyBorder="1" applyAlignment="1" applyProtection="1">
      <alignment horizontal="center" vertical="center"/>
      <protection locked="0"/>
    </xf>
    <xf numFmtId="0" fontId="6" fillId="19" borderId="0" xfId="0" applyFont="1" applyFill="1" applyAlignment="1" applyProtection="1">
      <alignment horizontal="center" vertical="center"/>
      <protection hidden="1"/>
    </xf>
    <xf numFmtId="176" fontId="6" fillId="19" borderId="0" xfId="0" applyNumberFormat="1" applyFont="1" applyFill="1" applyAlignment="1" applyProtection="1">
      <alignment horizontal="center" vertical="center"/>
      <protection hidden="1"/>
    </xf>
    <xf numFmtId="20" fontId="6" fillId="19" borderId="0" xfId="0" applyNumberFormat="1" applyFont="1" applyFill="1" applyAlignment="1" applyProtection="1">
      <alignment horizontal="center"/>
      <protection hidden="1"/>
    </xf>
    <xf numFmtId="0" fontId="6" fillId="19" borderId="0" xfId="0" applyFont="1" applyFill="1" applyAlignment="1" applyProtection="1">
      <alignment horizontal="center" vertical="center"/>
    </xf>
    <xf numFmtId="0" fontId="21" fillId="17" borderId="0" xfId="0" applyFont="1" applyFill="1" applyAlignment="1" applyProtection="1">
      <alignment horizontal="center" vertical="center" textRotation="90"/>
    </xf>
    <xf numFmtId="176" fontId="9" fillId="19" borderId="0" xfId="0" applyNumberFormat="1" applyFont="1" applyFill="1" applyAlignment="1" applyProtection="1">
      <alignment horizontal="center" vertical="center"/>
      <protection hidden="1"/>
    </xf>
    <xf numFmtId="20" fontId="6" fillId="19" borderId="0" xfId="0" applyNumberFormat="1" applyFont="1" applyFill="1" applyBorder="1" applyAlignment="1" applyProtection="1">
      <alignment horizontal="center" vertical="center"/>
      <protection hidden="1"/>
    </xf>
    <xf numFmtId="20" fontId="6" fillId="19" borderId="0" xfId="0" applyNumberFormat="1" applyFont="1" applyFill="1" applyAlignment="1" applyProtection="1">
      <alignment horizontal="center" vertical="center"/>
      <protection hidden="1"/>
    </xf>
    <xf numFmtId="0" fontId="6" fillId="19" borderId="0" xfId="0" quotePrefix="1" applyFont="1" applyFill="1" applyAlignment="1" applyProtection="1">
      <alignment horizontal="center"/>
      <protection hidden="1"/>
    </xf>
  </cellXfs>
  <cellStyles count="3">
    <cellStyle name="Euro" xfId="1"/>
    <cellStyle name="Prozent" xfId="2" builtinId="5"/>
    <cellStyle name="Standard" xfId="0" builtinId="0"/>
  </cellStyles>
  <dxfs count="61">
    <dxf>
      <font>
        <color rgb="FFFF0000"/>
      </font>
    </dxf>
    <dxf>
      <font>
        <b/>
        <i val="0"/>
        <condense val="0"/>
        <extend val="0"/>
      </font>
      <fill>
        <patternFill>
          <bgColor indexed="46"/>
        </patternFill>
      </fill>
    </dxf>
    <dxf>
      <font>
        <color rgb="FFFF0000"/>
      </font>
    </dxf>
    <dxf>
      <font>
        <condense val="0"/>
        <extend val="0"/>
        <color indexed="10"/>
      </font>
    </dxf>
    <dxf>
      <font>
        <b/>
        <i val="0"/>
        <condense val="0"/>
        <extend val="0"/>
      </font>
      <fill>
        <patternFill>
          <bgColor indexed="46"/>
        </patternFill>
      </fill>
    </dxf>
    <dxf>
      <font>
        <condense val="0"/>
        <extend val="0"/>
        <color indexed="10"/>
      </font>
    </dxf>
    <dxf>
      <fill>
        <patternFill>
          <bgColor indexed="10"/>
        </patternFill>
      </fill>
    </dxf>
    <dxf>
      <fill>
        <patternFill>
          <bgColor indexed="10"/>
        </patternFill>
      </fill>
    </dxf>
    <dxf>
      <font>
        <b/>
        <i val="0"/>
        <condense val="0"/>
        <extend val="0"/>
        <color indexed="10"/>
      </font>
    </dxf>
    <dxf>
      <font>
        <b/>
        <i val="0"/>
        <condense val="0"/>
        <extend val="0"/>
        <color indexed="10"/>
      </font>
    </dxf>
    <dxf>
      <font>
        <b/>
        <i val="0"/>
        <condense val="0"/>
        <extend val="0"/>
        <color indexed="10"/>
      </font>
      <border>
        <left/>
        <right/>
        <top/>
        <bottom/>
      </border>
    </dxf>
    <dxf>
      <font>
        <b/>
        <i val="0"/>
        <condense val="0"/>
        <extend val="0"/>
        <u val="none"/>
        <color indexed="10"/>
      </font>
      <fill>
        <patternFill patternType="none">
          <bgColor indexed="65"/>
        </patternFill>
      </fill>
    </dxf>
    <dxf>
      <font>
        <condense val="0"/>
        <extend val="0"/>
        <color indexed="10"/>
      </font>
    </dxf>
    <dxf>
      <font>
        <condense val="0"/>
        <extend val="0"/>
        <color indexed="52"/>
      </font>
    </dxf>
    <dxf>
      <font>
        <b/>
        <i val="0"/>
        <condense val="0"/>
        <extend val="0"/>
        <color indexed="10"/>
      </font>
      <border>
        <left/>
        <right/>
        <top/>
        <bottom/>
      </border>
    </dxf>
    <dxf>
      <font>
        <b/>
        <i val="0"/>
        <condense val="0"/>
        <extend val="0"/>
        <u val="none"/>
        <color indexed="10"/>
      </font>
      <fill>
        <patternFill patternType="none">
          <bgColor indexed="65"/>
        </patternFill>
      </fill>
    </dxf>
    <dxf>
      <font>
        <b/>
        <i val="0"/>
        <condense val="0"/>
        <extend val="0"/>
        <color indexed="10"/>
      </font>
      <border>
        <left/>
        <right/>
        <top/>
        <bottom/>
      </border>
    </dxf>
    <dxf>
      <font>
        <b/>
        <i val="0"/>
        <condense val="0"/>
        <extend val="0"/>
        <u val="none"/>
        <color indexed="10"/>
      </font>
      <fill>
        <patternFill patternType="none">
          <bgColor indexed="65"/>
        </patternFill>
      </fill>
    </dxf>
    <dxf>
      <font>
        <b/>
        <i val="0"/>
        <condense val="0"/>
        <extend val="0"/>
        <color indexed="10"/>
      </font>
      <border>
        <left/>
        <right/>
        <top/>
        <bottom/>
      </border>
    </dxf>
    <dxf>
      <font>
        <b/>
        <i val="0"/>
        <condense val="0"/>
        <extend val="0"/>
        <u val="none"/>
        <color indexed="10"/>
      </font>
      <fill>
        <patternFill patternType="none">
          <bgColor indexed="65"/>
        </patternFill>
      </fill>
    </dxf>
    <dxf>
      <font>
        <b/>
        <i val="0"/>
        <condense val="0"/>
        <extend val="0"/>
        <color indexed="10"/>
      </font>
      <border>
        <left/>
        <right/>
        <top/>
        <bottom/>
      </border>
    </dxf>
    <dxf>
      <font>
        <b/>
        <i val="0"/>
        <condense val="0"/>
        <extend val="0"/>
        <u val="none"/>
        <color indexed="10"/>
      </font>
      <fill>
        <patternFill patternType="none">
          <bgColor indexed="65"/>
        </patternFill>
      </fill>
    </dxf>
    <dxf>
      <font>
        <b/>
        <i val="0"/>
        <condense val="0"/>
        <extend val="0"/>
        <color indexed="10"/>
      </font>
      <border>
        <left/>
        <right/>
        <top/>
        <bottom/>
      </border>
    </dxf>
    <dxf>
      <font>
        <b/>
        <i val="0"/>
        <condense val="0"/>
        <extend val="0"/>
        <u val="none"/>
        <color indexed="10"/>
      </font>
      <fill>
        <patternFill patternType="none">
          <bgColor indexed="65"/>
        </patternFill>
      </fill>
    </dxf>
    <dxf>
      <font>
        <b/>
        <i val="0"/>
        <condense val="0"/>
        <extend val="0"/>
        <color indexed="10"/>
      </font>
      <border>
        <left/>
        <right/>
        <top/>
        <bottom/>
      </border>
    </dxf>
    <dxf>
      <font>
        <b/>
        <i val="0"/>
        <condense val="0"/>
        <extend val="0"/>
        <u val="none"/>
        <color indexed="10"/>
      </font>
      <fill>
        <patternFill patternType="none">
          <bgColor indexed="65"/>
        </patternFill>
      </fill>
    </dxf>
    <dxf>
      <font>
        <b/>
        <i val="0"/>
        <condense val="0"/>
        <extend val="0"/>
        <color indexed="10"/>
      </font>
      <border>
        <left/>
        <right/>
        <top/>
        <bottom/>
      </border>
    </dxf>
    <dxf>
      <font>
        <b/>
        <i val="0"/>
        <condense val="0"/>
        <extend val="0"/>
        <u val="none"/>
        <color indexed="10"/>
      </font>
      <fill>
        <patternFill patternType="none">
          <bgColor indexed="65"/>
        </patternFill>
      </fill>
    </dxf>
    <dxf>
      <font>
        <b/>
        <i val="0"/>
        <condense val="0"/>
        <extend val="0"/>
        <color indexed="10"/>
      </font>
      <border>
        <left/>
        <right/>
        <top/>
        <bottom/>
      </border>
    </dxf>
    <dxf>
      <font>
        <b/>
        <i val="0"/>
        <condense val="0"/>
        <extend val="0"/>
        <u val="none"/>
        <color indexed="10"/>
      </font>
      <fill>
        <patternFill patternType="none">
          <bgColor indexed="65"/>
        </patternFill>
      </fill>
    </dxf>
    <dxf>
      <font>
        <b/>
        <i val="0"/>
        <condense val="0"/>
        <extend val="0"/>
        <color indexed="10"/>
      </font>
      <border>
        <left/>
        <right/>
        <top/>
        <bottom/>
      </border>
    </dxf>
    <dxf>
      <font>
        <b/>
        <i val="0"/>
        <condense val="0"/>
        <extend val="0"/>
        <u val="none"/>
        <color indexed="10"/>
      </font>
      <fill>
        <patternFill patternType="none">
          <bgColor indexed="65"/>
        </patternFill>
      </fill>
    </dxf>
    <dxf>
      <font>
        <b/>
        <i val="0"/>
        <condense val="0"/>
        <extend val="0"/>
        <color indexed="10"/>
      </font>
      <border>
        <left/>
        <right/>
        <top/>
        <bottom/>
      </border>
    </dxf>
    <dxf>
      <font>
        <b/>
        <i val="0"/>
        <condense val="0"/>
        <extend val="0"/>
        <u val="none"/>
        <color indexed="10"/>
      </font>
      <fill>
        <patternFill patternType="none">
          <bgColor indexed="65"/>
        </patternFill>
      </fill>
    </dxf>
    <dxf>
      <font>
        <b/>
        <i val="0"/>
        <condense val="0"/>
        <extend val="0"/>
        <color indexed="10"/>
      </font>
      <border>
        <left/>
        <right/>
        <top/>
        <bottom/>
      </border>
    </dxf>
    <dxf>
      <font>
        <b/>
        <i val="0"/>
        <condense val="0"/>
        <extend val="0"/>
        <u val="none"/>
        <color indexed="10"/>
      </font>
      <fill>
        <patternFill patternType="none">
          <bgColor indexed="65"/>
        </patternFill>
      </fill>
    </dxf>
    <dxf>
      <font>
        <b/>
        <i val="0"/>
        <condense val="0"/>
        <extend val="0"/>
      </font>
      <fill>
        <patternFill>
          <bgColor indexed="46"/>
        </patternFill>
      </fill>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fill>
        <patternFill>
          <bgColor indexed="9"/>
        </patternFill>
      </fill>
    </dxf>
    <dxf>
      <font>
        <b/>
        <i val="0"/>
        <condense val="0"/>
        <extend val="0"/>
        <color indexed="10"/>
      </font>
      <fill>
        <patternFill>
          <bgColor indexed="9"/>
        </patternFill>
      </fill>
    </dxf>
    <dxf>
      <font>
        <b/>
        <i val="0"/>
        <condense val="0"/>
        <extend val="0"/>
        <color indexed="10"/>
      </font>
      <fill>
        <patternFill>
          <bgColor indexed="9"/>
        </patternFill>
      </fill>
    </dxf>
    <dxf>
      <font>
        <b/>
        <i val="0"/>
        <condense val="0"/>
        <extend val="0"/>
        <u val="none"/>
        <color indexed="10"/>
      </font>
      <fill>
        <patternFill patternType="none">
          <bgColor indexed="65"/>
        </patternFill>
      </fill>
    </dxf>
    <dxf>
      <font>
        <b/>
        <i val="0"/>
        <condense val="0"/>
        <extend val="0"/>
        <color indexed="10"/>
      </font>
      <fill>
        <patternFill>
          <bgColor indexed="9"/>
        </patternFill>
      </fill>
    </dxf>
    <dxf>
      <font>
        <b/>
        <i val="0"/>
        <condense val="0"/>
        <extend val="0"/>
        <color indexed="10"/>
      </font>
      <fill>
        <patternFill>
          <bgColor indexed="9"/>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font>
      <fill>
        <patternFill>
          <bgColor indexed="26"/>
        </patternFill>
      </fill>
    </dxf>
    <dxf>
      <font>
        <b/>
        <i val="0"/>
        <condense val="0"/>
        <extend val="0"/>
      </font>
      <fill>
        <patternFill>
          <bgColor indexed="46"/>
        </patternFill>
      </fill>
    </dxf>
    <dxf>
      <font>
        <condense val="0"/>
        <extend val="0"/>
        <color indexed="10"/>
      </font>
      <fill>
        <patternFill>
          <bgColor indexed="52"/>
        </patternFill>
      </fill>
    </dxf>
    <dxf>
      <font>
        <condense val="0"/>
        <extend val="0"/>
        <color indexed="10"/>
      </font>
    </dxf>
    <dxf>
      <font>
        <condense val="0"/>
        <extend val="0"/>
        <color indexed="10"/>
      </font>
    </dxf>
    <dxf>
      <font>
        <color rgb="FFFF0000"/>
        <name val="Calibri Light"/>
        <scheme val="none"/>
      </font>
    </dxf>
    <dxf>
      <font>
        <condense val="0"/>
        <extend val="0"/>
        <color indexed="10"/>
      </font>
    </dxf>
    <dxf>
      <font>
        <condense val="0"/>
        <extend val="0"/>
        <color indexed="10"/>
      </font>
    </dxf>
    <dxf>
      <font>
        <condense val="0"/>
        <extend val="0"/>
        <color indexed="9"/>
      </font>
      <fill>
        <patternFill>
          <bgColor indexed="9"/>
        </patternFill>
      </fill>
      <border>
        <left/>
        <right/>
        <top/>
        <bottom/>
      </border>
    </dxf>
  </dxfs>
  <tableStyles count="0" defaultTableStyle="TableStyleMedium2" defaultPivotStyle="PivotStyleLight16"/>
  <colors>
    <mruColors>
      <color rgb="FFEF93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G"/><Relationship Id="rId1" Type="http://schemas.openxmlformats.org/officeDocument/2006/relationships/hyperlink" Target="http://brotkruemel.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123826</xdr:colOff>
      <xdr:row>3</xdr:row>
      <xdr:rowOff>38100</xdr:rowOff>
    </xdr:from>
    <xdr:to>
      <xdr:col>6</xdr:col>
      <xdr:colOff>294410</xdr:colOff>
      <xdr:row>4</xdr:row>
      <xdr:rowOff>23721</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8626" y="2162175"/>
          <a:ext cx="2800350" cy="1004796"/>
        </a:xfrm>
        <a:prstGeom prst="rect">
          <a:avLst/>
        </a:prstGeom>
      </xdr:spPr>
    </xdr:pic>
    <xdr:clientData/>
  </xdr:twoCellAnchor>
  <xdr:twoCellAnchor editAs="oneCell">
    <xdr:from>
      <xdr:col>0</xdr:col>
      <xdr:colOff>234661</xdr:colOff>
      <xdr:row>1</xdr:row>
      <xdr:rowOff>152400</xdr:rowOff>
    </xdr:from>
    <xdr:to>
      <xdr:col>1</xdr:col>
      <xdr:colOff>672811</xdr:colOff>
      <xdr:row>1</xdr:row>
      <xdr:rowOff>895350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4661" y="325582"/>
          <a:ext cx="741218" cy="742950"/>
        </a:xfrm>
        <a:prstGeom prst="rect">
          <a:avLst/>
        </a:prstGeom>
      </xdr:spPr>
    </xdr:pic>
    <xdr:clientData/>
  </xdr:twoCellAnchor>
  <xdr:twoCellAnchor editAs="oneCell">
    <xdr:from>
      <xdr:col>14</xdr:col>
      <xdr:colOff>46781</xdr:colOff>
      <xdr:row>157</xdr:row>
      <xdr:rowOff>66676</xdr:rowOff>
    </xdr:from>
    <xdr:to>
      <xdr:col>16</xdr:col>
      <xdr:colOff>381000</xdr:colOff>
      <xdr:row>158</xdr:row>
      <xdr:rowOff>510886</xdr:rowOff>
    </xdr:to>
    <xdr:pic>
      <xdr:nvPicPr>
        <xdr:cNvPr id="6" name="Grafik 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09806" y="9658351"/>
          <a:ext cx="1858219" cy="6667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filterMode="1">
    <tabColor rgb="FFFFC000"/>
    <pageSetUpPr fitToPage="1"/>
  </sheetPr>
  <dimension ref="A1:IV169"/>
  <sheetViews>
    <sheetView tabSelected="1" showOutlineSymbols="0" topLeftCell="A2" zoomScale="90" zoomScaleNormal="90" workbookViewId="0">
      <selection activeCell="B7" sqref="B7:J7"/>
    </sheetView>
  </sheetViews>
  <sheetFormatPr baseColWidth="10" defaultColWidth="0" defaultRowHeight="12.75" zeroHeight="1" x14ac:dyDescent="0.2"/>
  <cols>
    <col min="1" max="1" width="4.5703125" style="9" customWidth="1"/>
    <col min="2" max="2" width="11.42578125" style="9" customWidth="1"/>
    <col min="3" max="3" width="9.7109375" style="9" customWidth="1"/>
    <col min="4" max="4" width="2.42578125" style="9" customWidth="1"/>
    <col min="5" max="6" width="7.85546875" style="9" customWidth="1"/>
    <col min="7" max="7" width="11.42578125" style="9" customWidth="1"/>
    <col min="8" max="8" width="4.28515625" style="9" customWidth="1"/>
    <col min="9" max="9" width="8.28515625" style="9" customWidth="1"/>
    <col min="10" max="13" width="12.28515625" style="9" customWidth="1"/>
    <col min="14" max="14" width="9.85546875" style="9" customWidth="1"/>
    <col min="15" max="17" width="11.42578125" style="9" customWidth="1"/>
    <col min="18" max="18" width="5.5703125" style="9" customWidth="1"/>
    <col min="19" max="256" width="11.42578125" style="9" hidden="1" customWidth="1"/>
    <col min="257" max="16384" width="0" style="9" hidden="1"/>
  </cols>
  <sheetData>
    <row r="1" spans="1:151" ht="13.5" customHeight="1" thickBot="1" x14ac:dyDescent="0.25">
      <c r="A1" s="143"/>
      <c r="B1" s="143"/>
      <c r="C1" s="143"/>
      <c r="D1" s="144"/>
      <c r="E1" s="144"/>
      <c r="F1" s="144"/>
      <c r="G1" s="144"/>
      <c r="H1" s="144"/>
      <c r="I1" s="144"/>
      <c r="J1" s="144"/>
      <c r="K1" s="144"/>
      <c r="L1" s="144"/>
      <c r="M1" s="144"/>
      <c r="N1" s="144"/>
      <c r="O1" s="145"/>
      <c r="P1" s="149"/>
      <c r="Q1" s="150"/>
      <c r="R1" s="10"/>
      <c r="S1" s="3"/>
      <c r="T1" s="17"/>
      <c r="U1" s="3"/>
      <c r="V1" s="18"/>
      <c r="Z1" s="19"/>
      <c r="AA1" s="12" t="s">
        <v>32</v>
      </c>
      <c r="AB1" s="20" t="str">
        <f>"DSF-V"</f>
        <v>DSF-V</v>
      </c>
      <c r="AC1" s="21">
        <v>1</v>
      </c>
      <c r="AD1" s="4"/>
      <c r="AE1" s="8"/>
      <c r="AF1" s="8"/>
      <c r="AG1" s="8"/>
      <c r="AP1" s="7"/>
      <c r="AQ1" s="23" t="s">
        <v>74</v>
      </c>
      <c r="AR1" s="24"/>
      <c r="AS1" s="24"/>
      <c r="AU1" s="25">
        <f>J12</f>
        <v>0</v>
      </c>
      <c r="AV1" s="26">
        <f>AU1/1.2*0.02</f>
        <v>0</v>
      </c>
      <c r="AW1" s="4"/>
      <c r="AX1" s="17"/>
      <c r="AZ1" s="27" t="s">
        <v>71</v>
      </c>
      <c r="BA1" s="28">
        <f>IF(OR(L1="Schrot",L1="VK"),1.03,IF(L1&gt;1400,1.02,IF(L1&gt;1000,1.01,1)))</f>
        <v>1</v>
      </c>
      <c r="BB1" s="27" t="s">
        <v>72</v>
      </c>
      <c r="BC1" s="17" t="s">
        <v>94</v>
      </c>
      <c r="BD1" s="17"/>
      <c r="BE1" s="17"/>
      <c r="BF1" s="17"/>
      <c r="BG1" s="17"/>
      <c r="BH1" s="17"/>
      <c r="BP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row>
    <row r="2" spans="1:151" ht="185.25" customHeight="1" x14ac:dyDescent="0.2">
      <c r="A2" s="143"/>
      <c r="B2" s="151"/>
      <c r="C2" s="335" t="s">
        <v>110</v>
      </c>
      <c r="D2" s="336"/>
      <c r="E2" s="336"/>
      <c r="F2" s="336"/>
      <c r="G2" s="336"/>
      <c r="H2" s="336"/>
      <c r="I2" s="336"/>
      <c r="J2" s="336"/>
      <c r="K2" s="336"/>
      <c r="L2" s="336"/>
      <c r="M2" s="336"/>
      <c r="N2" s="336"/>
      <c r="O2" s="336"/>
      <c r="P2" s="337"/>
      <c r="Q2" s="150"/>
      <c r="R2" s="10"/>
      <c r="S2" s="3"/>
      <c r="T2" s="17"/>
      <c r="U2" s="3"/>
      <c r="V2" s="18"/>
      <c r="Z2" s="19"/>
      <c r="AA2" s="29"/>
      <c r="AB2" s="20"/>
      <c r="AC2" s="21"/>
      <c r="AD2" s="4"/>
      <c r="AE2" s="8"/>
      <c r="AF2" s="8"/>
      <c r="AG2" s="8"/>
      <c r="AP2" s="7"/>
      <c r="AQ2" s="24"/>
      <c r="AR2" s="24"/>
      <c r="AS2" s="24"/>
      <c r="AU2" s="139"/>
      <c r="AV2" s="140"/>
      <c r="AW2" s="4"/>
      <c r="AX2" s="17"/>
      <c r="AZ2" s="51"/>
      <c r="BA2" s="141"/>
      <c r="BB2" s="51"/>
      <c r="BC2" s="17"/>
      <c r="BD2" s="17"/>
      <c r="BE2" s="17"/>
      <c r="BF2" s="17"/>
      <c r="BG2" s="17"/>
      <c r="BH2" s="17"/>
      <c r="BP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row>
    <row r="3" spans="1:151" s="8" customFormat="1" ht="15.75" customHeight="1" thickBot="1" x14ac:dyDescent="0.25">
      <c r="A3" s="143"/>
      <c r="B3" s="143"/>
      <c r="C3" s="143"/>
      <c r="D3" s="144"/>
      <c r="E3" s="144"/>
      <c r="F3" s="144"/>
      <c r="G3" s="144"/>
      <c r="H3" s="144"/>
      <c r="I3" s="144"/>
      <c r="J3" s="144"/>
      <c r="K3" s="144"/>
      <c r="L3" s="144"/>
      <c r="M3" s="144"/>
      <c r="N3" s="144"/>
      <c r="O3" s="145"/>
      <c r="P3" s="146"/>
      <c r="Q3" s="144"/>
      <c r="R3" s="2"/>
      <c r="S3" s="3"/>
      <c r="T3" s="4"/>
      <c r="U3" s="5"/>
      <c r="V3" s="6"/>
      <c r="W3" s="6"/>
      <c r="X3" s="4"/>
      <c r="Y3" s="4"/>
      <c r="Z3" s="4"/>
      <c r="AA3" s="7"/>
      <c r="AB3" s="4"/>
      <c r="AC3" s="7"/>
      <c r="AD3" s="4"/>
      <c r="AP3" s="7"/>
      <c r="AQ3" s="4"/>
      <c r="AR3" s="4"/>
      <c r="AS3" s="4"/>
      <c r="AT3" s="4"/>
      <c r="AU3" s="4"/>
      <c r="AV3" s="4"/>
      <c r="AW3" s="4"/>
      <c r="AX3" s="4"/>
      <c r="AY3" s="4"/>
      <c r="BD3" s="9"/>
      <c r="BH3" s="4"/>
      <c r="BI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row>
    <row r="4" spans="1:151" s="8" customFormat="1" ht="80.25" customHeight="1" thickBot="1" x14ac:dyDescent="0.25">
      <c r="A4" s="143"/>
      <c r="B4" s="143"/>
      <c r="C4" s="143"/>
      <c r="D4" s="144"/>
      <c r="E4" s="144"/>
      <c r="F4" s="144"/>
      <c r="G4" s="147" t="s">
        <v>104</v>
      </c>
      <c r="H4" s="144"/>
      <c r="I4" s="144"/>
      <c r="J4" s="144"/>
      <c r="K4" s="144"/>
      <c r="L4" s="144"/>
      <c r="M4" s="144"/>
      <c r="N4" s="144"/>
      <c r="O4" s="145"/>
      <c r="P4" s="144"/>
      <c r="Q4" s="148"/>
      <c r="R4" s="10"/>
      <c r="S4" s="3"/>
      <c r="T4" s="3"/>
      <c r="U4" s="3"/>
      <c r="V4" s="4"/>
      <c r="W4" s="6"/>
      <c r="X4" s="4"/>
      <c r="Y4" s="4"/>
      <c r="Z4" s="11" t="str">
        <f>VLOOKUP(B7,arrRSAUERFÜHRUNG,2,FALSE)</f>
        <v>DZF 1</v>
      </c>
      <c r="AA4" s="12" t="s">
        <v>31</v>
      </c>
      <c r="AB4" s="13" t="str">
        <f>"DSF-G"</f>
        <v>DSF-G</v>
      </c>
      <c r="AC4" s="14">
        <v>0</v>
      </c>
      <c r="AD4" s="4"/>
      <c r="AP4" s="7"/>
      <c r="AQ4" s="7"/>
      <c r="AR4" s="7"/>
      <c r="AU4" s="15" t="s">
        <v>45</v>
      </c>
      <c r="AV4" s="16" t="s">
        <v>30</v>
      </c>
      <c r="AW4" s="4"/>
      <c r="AX4" s="4"/>
      <c r="AZ4" s="4" t="s">
        <v>102</v>
      </c>
      <c r="BA4" s="4"/>
      <c r="BB4" s="4"/>
      <c r="BC4" s="4"/>
      <c r="BD4" s="4"/>
      <c r="BE4" s="4"/>
      <c r="BF4" s="4"/>
      <c r="BG4" s="4"/>
      <c r="BH4" s="4"/>
      <c r="BI4" s="4"/>
      <c r="BJ4" s="4"/>
      <c r="BK4" s="4"/>
      <c r="BL4" s="4"/>
      <c r="BM4" s="4"/>
      <c r="BN4" s="4"/>
      <c r="BO4" s="4"/>
      <c r="BP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row>
    <row r="5" spans="1:151" s="8" customFormat="1" ht="7.5" customHeight="1" x14ac:dyDescent="0.2">
      <c r="A5" s="143"/>
      <c r="B5" s="143"/>
      <c r="C5" s="143"/>
      <c r="D5" s="144"/>
      <c r="E5" s="144"/>
      <c r="F5" s="144"/>
      <c r="G5" s="144"/>
      <c r="H5" s="144"/>
      <c r="I5" s="144"/>
      <c r="J5" s="144"/>
      <c r="K5" s="144"/>
      <c r="L5" s="144"/>
      <c r="M5" s="144"/>
      <c r="N5" s="144"/>
      <c r="O5" s="145"/>
      <c r="P5" s="149"/>
      <c r="Q5" s="150"/>
      <c r="R5" s="10"/>
      <c r="S5" s="4"/>
      <c r="U5" s="4"/>
      <c r="V5" s="4"/>
      <c r="X5" s="4"/>
      <c r="Y5" s="4"/>
      <c r="Z5" s="19"/>
      <c r="AA5" s="29" t="s">
        <v>33</v>
      </c>
      <c r="AB5" s="20" t="s">
        <v>12</v>
      </c>
      <c r="AC5" s="30">
        <v>2</v>
      </c>
      <c r="AD5" s="4"/>
      <c r="AP5" s="4"/>
      <c r="AQ5" s="4"/>
      <c r="AR5" s="31">
        <f>I9</f>
        <v>1</v>
      </c>
      <c r="AS5" s="32"/>
      <c r="AU5" s="33" t="s">
        <v>8</v>
      </c>
      <c r="AV5" s="4"/>
      <c r="AW5" s="4"/>
      <c r="AX5" s="34"/>
      <c r="AY5" s="34"/>
      <c r="AZ5" s="34"/>
      <c r="BA5" s="34"/>
      <c r="BB5" s="34"/>
      <c r="BC5" s="34"/>
      <c r="BD5" s="34"/>
      <c r="BE5" s="34"/>
      <c r="BF5" s="34"/>
      <c r="BG5" s="4"/>
      <c r="BH5" s="4"/>
      <c r="BP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row>
    <row r="6" spans="1:151" s="8" customFormat="1" ht="7.5" customHeight="1" thickBot="1" x14ac:dyDescent="0.25">
      <c r="A6" s="143"/>
      <c r="B6" s="152"/>
      <c r="C6" s="152"/>
      <c r="D6" s="152"/>
      <c r="E6" s="152"/>
      <c r="F6" s="152"/>
      <c r="G6" s="152"/>
      <c r="H6" s="152"/>
      <c r="I6" s="152"/>
      <c r="J6" s="152"/>
      <c r="K6" s="153"/>
      <c r="L6" s="153"/>
      <c r="M6" s="153"/>
      <c r="N6" s="153"/>
      <c r="O6" s="149"/>
      <c r="P6" s="149"/>
      <c r="Q6" s="150"/>
      <c r="R6" s="10"/>
      <c r="S6" s="36"/>
      <c r="T6" s="37"/>
      <c r="U6" s="37"/>
      <c r="V6" s="37"/>
      <c r="X6" s="4"/>
      <c r="Z6" s="19"/>
      <c r="AA6" s="29" t="s">
        <v>34</v>
      </c>
      <c r="AB6" s="20" t="s">
        <v>25</v>
      </c>
      <c r="AC6" s="14">
        <v>3</v>
      </c>
      <c r="AD6" s="4"/>
      <c r="AP6" s="4"/>
      <c r="AS6" s="32"/>
      <c r="AU6" s="38">
        <f>J12*(I9+E12)</f>
        <v>0</v>
      </c>
      <c r="AX6" s="4"/>
      <c r="AY6" s="34"/>
      <c r="AZ6" s="34"/>
      <c r="BA6" s="34"/>
      <c r="BB6" s="34"/>
      <c r="BC6" s="34"/>
      <c r="BD6" s="34"/>
      <c r="BE6" s="34"/>
      <c r="BF6" s="34"/>
      <c r="BG6" s="4"/>
      <c r="BH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row>
    <row r="7" spans="1:151" ht="29.25" customHeight="1" thickTop="1" thickBot="1" x14ac:dyDescent="0.25">
      <c r="A7" s="143"/>
      <c r="B7" s="339" t="s">
        <v>34</v>
      </c>
      <c r="C7" s="340"/>
      <c r="D7" s="340"/>
      <c r="E7" s="340"/>
      <c r="F7" s="340"/>
      <c r="G7" s="340"/>
      <c r="H7" s="340"/>
      <c r="I7" s="340"/>
      <c r="J7" s="341"/>
      <c r="K7" s="39"/>
      <c r="L7" s="348" t="s">
        <v>109</v>
      </c>
      <c r="M7" s="349"/>
      <c r="N7" s="349"/>
      <c r="O7" s="349"/>
      <c r="P7" s="149"/>
      <c r="Q7" s="150"/>
      <c r="R7" s="10"/>
      <c r="S7" s="4"/>
      <c r="T7" s="41" t="str">
        <f>Z4</f>
        <v>DZF 1</v>
      </c>
      <c r="U7" s="36"/>
      <c r="V7" s="17"/>
      <c r="X7" s="17"/>
      <c r="Z7" s="19"/>
      <c r="AA7" s="29" t="s">
        <v>35</v>
      </c>
      <c r="AB7" s="20" t="str">
        <f>"DZF 2"</f>
        <v>DZF 2</v>
      </c>
      <c r="AC7" s="42">
        <v>4</v>
      </c>
      <c r="AD7" s="4"/>
      <c r="AE7" s="8"/>
      <c r="AF7" s="8"/>
      <c r="AG7" s="8"/>
      <c r="AH7" s="8"/>
      <c r="AI7" s="8"/>
      <c r="AJ7" s="8"/>
      <c r="AK7" s="8"/>
      <c r="AL7" s="8"/>
      <c r="AT7" s="43"/>
      <c r="BP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row>
    <row r="8" spans="1:151" ht="21.75" customHeight="1" x14ac:dyDescent="0.2">
      <c r="A8" s="143"/>
      <c r="B8" s="152"/>
      <c r="C8" s="144"/>
      <c r="D8" s="144"/>
      <c r="E8" s="152"/>
      <c r="F8" s="152"/>
      <c r="G8" s="152"/>
      <c r="H8" s="152"/>
      <c r="I8" s="152"/>
      <c r="J8" s="152"/>
      <c r="K8" s="154"/>
      <c r="L8" s="153"/>
      <c r="M8" s="152"/>
      <c r="N8" s="152"/>
      <c r="O8" s="152"/>
      <c r="P8" s="149"/>
      <c r="Q8" s="150"/>
      <c r="R8" s="10"/>
      <c r="S8" s="4"/>
      <c r="T8" s="4"/>
      <c r="U8" s="36"/>
      <c r="V8" s="17"/>
      <c r="X8" s="17"/>
      <c r="Z8" s="19"/>
      <c r="AA8" s="29" t="s">
        <v>36</v>
      </c>
      <c r="AB8" s="20" t="s">
        <v>13</v>
      </c>
      <c r="AC8" s="42">
        <v>5</v>
      </c>
      <c r="AD8" s="4"/>
      <c r="AE8" s="8"/>
      <c r="AF8" s="8"/>
      <c r="AG8" s="8"/>
      <c r="AH8" s="8"/>
      <c r="AI8" s="8"/>
      <c r="AJ8" s="8"/>
      <c r="AK8" s="8"/>
      <c r="AL8" s="8"/>
      <c r="AR8" s="44"/>
      <c r="AV8" s="17"/>
      <c r="AW8" s="4"/>
      <c r="AX8" s="4"/>
      <c r="AY8" s="4"/>
      <c r="AZ8" s="4"/>
      <c r="BA8" s="4"/>
      <c r="BB8" s="4"/>
      <c r="BC8" s="4"/>
      <c r="BD8" s="4"/>
      <c r="BE8" s="4"/>
      <c r="BF8" s="4"/>
      <c r="BG8" s="4"/>
      <c r="BH8" s="17"/>
      <c r="BP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row>
    <row r="9" spans="1:151" s="8" customFormat="1" ht="31.5" customHeight="1" thickBot="1" x14ac:dyDescent="0.25">
      <c r="A9" s="143"/>
      <c r="B9" s="35"/>
      <c r="C9" s="152"/>
      <c r="D9" s="152"/>
      <c r="E9" s="152"/>
      <c r="F9" s="152"/>
      <c r="G9" s="152"/>
      <c r="H9" s="142" t="s">
        <v>103</v>
      </c>
      <c r="I9" s="342">
        <v>1</v>
      </c>
      <c r="J9" s="343"/>
      <c r="K9" s="348" t="s">
        <v>106</v>
      </c>
      <c r="L9" s="349"/>
      <c r="M9" s="349"/>
      <c r="N9" s="349"/>
      <c r="O9" s="152"/>
      <c r="P9" s="149"/>
      <c r="Q9" s="150"/>
      <c r="R9" s="10"/>
      <c r="S9" s="4"/>
      <c r="T9" s="4"/>
      <c r="U9" s="45"/>
      <c r="V9" s="4"/>
      <c r="X9" s="4"/>
      <c r="Z9" s="19"/>
      <c r="AA9" s="29" t="s">
        <v>37</v>
      </c>
      <c r="AB9" s="20" t="s">
        <v>15</v>
      </c>
      <c r="AC9" s="14">
        <v>6</v>
      </c>
      <c r="AD9" s="4"/>
      <c r="AR9" s="44"/>
      <c r="AS9" s="32"/>
      <c r="AT9" s="4"/>
      <c r="AU9" s="4"/>
      <c r="AV9" s="4"/>
      <c r="AW9" s="4"/>
      <c r="AX9" s="4"/>
      <c r="AY9" s="4"/>
      <c r="AZ9" s="4"/>
      <c r="BA9" s="4"/>
      <c r="BB9" s="4"/>
      <c r="BC9" s="4"/>
      <c r="BD9" s="4"/>
      <c r="BE9" s="4"/>
      <c r="BF9" s="4"/>
      <c r="BG9" s="4"/>
      <c r="BH9" s="4"/>
      <c r="BP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row>
    <row r="10" spans="1:151" s="8" customFormat="1" ht="19.5" customHeight="1" x14ac:dyDescent="0.2">
      <c r="A10" s="143"/>
      <c r="B10" s="155"/>
      <c r="C10" s="144"/>
      <c r="D10" s="144"/>
      <c r="E10" s="152"/>
      <c r="F10" s="144"/>
      <c r="G10" s="152"/>
      <c r="H10" s="152"/>
      <c r="I10" s="152"/>
      <c r="J10" s="152"/>
      <c r="K10" s="152"/>
      <c r="L10" s="152"/>
      <c r="M10" s="152"/>
      <c r="N10" s="144"/>
      <c r="O10" s="156"/>
      <c r="P10" s="149"/>
      <c r="Q10" s="150"/>
      <c r="R10" s="10"/>
      <c r="S10" s="4"/>
      <c r="T10" s="4"/>
      <c r="U10" s="45"/>
      <c r="V10" s="46" t="s">
        <v>14</v>
      </c>
      <c r="W10" s="47" t="s">
        <v>18</v>
      </c>
      <c r="X10" s="4"/>
      <c r="Z10" s="19"/>
      <c r="AA10" s="29" t="s">
        <v>38</v>
      </c>
      <c r="AB10" s="20" t="s">
        <v>19</v>
      </c>
      <c r="AC10" s="14">
        <v>7</v>
      </c>
      <c r="AD10" s="4"/>
      <c r="AR10" s="44"/>
      <c r="AS10" s="32"/>
      <c r="AT10" s="4"/>
      <c r="AU10" s="4"/>
      <c r="AV10" s="4"/>
      <c r="AW10" s="4"/>
      <c r="AX10" s="4"/>
      <c r="AY10" s="4"/>
      <c r="AZ10" s="4"/>
      <c r="BA10" s="4"/>
      <c r="BB10" s="4"/>
      <c r="BC10" s="4"/>
      <c r="BD10" s="4"/>
      <c r="BE10" s="4"/>
      <c r="BF10" s="4"/>
      <c r="BG10" s="4"/>
      <c r="BH10" s="4"/>
      <c r="BI10" s="4"/>
      <c r="BJ10" s="17"/>
      <c r="BK10" s="17"/>
      <c r="BL10" s="49"/>
      <c r="BM10" s="50"/>
      <c r="BN10" s="4"/>
      <c r="BO10" s="7"/>
      <c r="BP10" s="4"/>
      <c r="BR10" s="51"/>
      <c r="BS10" s="7"/>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row>
    <row r="11" spans="1:151" s="8" customFormat="1" ht="24.75" customHeight="1" x14ac:dyDescent="0.2">
      <c r="A11" s="143"/>
      <c r="B11" s="152"/>
      <c r="C11" s="152"/>
      <c r="D11" s="152"/>
      <c r="E11" s="152"/>
      <c r="F11" s="157" t="s">
        <v>9</v>
      </c>
      <c r="G11" s="152"/>
      <c r="H11" s="144"/>
      <c r="I11" s="152"/>
      <c r="J11" s="158" t="s">
        <v>105</v>
      </c>
      <c r="K11" s="159"/>
      <c r="L11" s="152"/>
      <c r="M11" s="153"/>
      <c r="N11" s="152"/>
      <c r="O11" s="152"/>
      <c r="P11" s="149"/>
      <c r="Q11" s="150"/>
      <c r="R11" s="10"/>
      <c r="S11" s="4"/>
      <c r="T11" s="4"/>
      <c r="U11" s="45"/>
      <c r="V11" s="46" t="s">
        <v>77</v>
      </c>
      <c r="W11" s="47" t="s">
        <v>77</v>
      </c>
      <c r="X11" s="4"/>
      <c r="Z11" s="19"/>
      <c r="AA11" s="29" t="s">
        <v>39</v>
      </c>
      <c r="AB11" s="20" t="s">
        <v>20</v>
      </c>
      <c r="AC11" s="14">
        <v>8</v>
      </c>
      <c r="AD11" s="4"/>
      <c r="AR11" s="44"/>
      <c r="AS11" s="32"/>
      <c r="AT11" s="4"/>
      <c r="AU11" s="4"/>
      <c r="AV11" s="4"/>
      <c r="AW11" s="4"/>
      <c r="AX11" s="4"/>
      <c r="AY11" s="4"/>
      <c r="AZ11" s="4"/>
      <c r="BA11" s="4"/>
      <c r="BB11" s="4"/>
      <c r="BC11" s="4"/>
      <c r="BD11" s="4"/>
      <c r="BE11" s="4"/>
      <c r="BF11" s="4"/>
      <c r="BG11" s="4"/>
      <c r="BH11" s="4"/>
      <c r="BI11" s="4"/>
      <c r="BJ11" s="17"/>
      <c r="BK11" s="17"/>
      <c r="BL11" s="49"/>
      <c r="BM11" s="50"/>
      <c r="BN11" s="4"/>
      <c r="BO11" s="7"/>
      <c r="BP11" s="4"/>
      <c r="BR11" s="51"/>
      <c r="BS11" s="7"/>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row>
    <row r="12" spans="1:151" s="8" customFormat="1" ht="29.25" customHeight="1" thickBot="1" x14ac:dyDescent="0.25">
      <c r="A12" s="143"/>
      <c r="B12" s="152"/>
      <c r="C12" s="152"/>
      <c r="D12" s="152"/>
      <c r="E12" s="344">
        <v>0.1</v>
      </c>
      <c r="F12" s="345"/>
      <c r="G12" s="152"/>
      <c r="H12" s="152"/>
      <c r="I12" s="152"/>
      <c r="J12" s="346">
        <v>0</v>
      </c>
      <c r="K12" s="347"/>
      <c r="L12" s="152"/>
      <c r="M12" s="152"/>
      <c r="N12" s="152"/>
      <c r="O12" s="152"/>
      <c r="P12" s="149"/>
      <c r="Q12" s="150"/>
      <c r="R12" s="10"/>
      <c r="S12" s="4"/>
      <c r="T12" s="4"/>
      <c r="U12" s="45"/>
      <c r="V12" s="46" t="s">
        <v>75</v>
      </c>
      <c r="W12" s="47" t="s">
        <v>75</v>
      </c>
      <c r="X12" s="4"/>
      <c r="Y12" s="4"/>
      <c r="Z12" s="52"/>
      <c r="AA12" s="22" t="s">
        <v>40</v>
      </c>
      <c r="AB12" s="53" t="s">
        <v>27</v>
      </c>
      <c r="AC12" s="30">
        <v>9</v>
      </c>
      <c r="AD12" s="4"/>
      <c r="AR12" s="44"/>
      <c r="AS12" s="32"/>
      <c r="AT12" s="4"/>
      <c r="AU12" s="4"/>
      <c r="AV12" s="4"/>
      <c r="AW12" s="4"/>
      <c r="AX12" s="4"/>
      <c r="AY12" s="4"/>
      <c r="AZ12" s="4"/>
      <c r="BA12" s="4"/>
      <c r="BB12" s="4"/>
      <c r="BC12" s="4"/>
      <c r="BD12" s="4"/>
      <c r="BE12" s="4"/>
      <c r="BF12" s="4"/>
      <c r="BG12" s="4"/>
      <c r="BH12" s="4"/>
      <c r="BI12" s="4"/>
      <c r="BJ12" s="17"/>
      <c r="BK12" s="17"/>
      <c r="BL12" s="49"/>
      <c r="BM12" s="50"/>
      <c r="BN12" s="4"/>
      <c r="BO12" s="7"/>
      <c r="BP12" s="4"/>
      <c r="BR12" s="51"/>
      <c r="BS12" s="7"/>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row>
    <row r="13" spans="1:151" s="8" customFormat="1" ht="19.5" customHeight="1" x14ac:dyDescent="0.2">
      <c r="A13" s="143"/>
      <c r="B13" s="155"/>
      <c r="C13" s="152"/>
      <c r="D13" s="152"/>
      <c r="E13" s="152"/>
      <c r="F13" s="152"/>
      <c r="G13" s="152"/>
      <c r="H13" s="152"/>
      <c r="I13" s="338" t="str">
        <f>IF(OR(B7="",I9=0,I9=""),"",IF(T15=101%,"DAS SIND MEHR ALS 100% DER ENTHALTENDEN SAUERTEIGSTUFE","ENTSPRICHT "&amp;ROUND(T15*100,0)&amp;" % DER ENTHALTENDEN SAUERTEIGSTUFE"))</f>
        <v>ENTSPRICHT 0 % DER ENTHALTENDEN SAUERTEIGSTUFE</v>
      </c>
      <c r="J13" s="338"/>
      <c r="K13" s="338"/>
      <c r="L13" s="338"/>
      <c r="M13" s="152"/>
      <c r="N13" s="152"/>
      <c r="O13" s="156"/>
      <c r="P13" s="149"/>
      <c r="Q13" s="150"/>
      <c r="R13" s="10"/>
      <c r="S13" s="4"/>
      <c r="T13" s="4"/>
      <c r="U13" s="45"/>
      <c r="V13" s="46" t="s">
        <v>76</v>
      </c>
      <c r="W13" s="45"/>
      <c r="X13" s="4"/>
      <c r="Y13" s="4"/>
      <c r="Z13" s="45"/>
      <c r="AA13" s="18"/>
      <c r="AB13" s="6"/>
      <c r="AC13" s="4"/>
      <c r="AD13" s="4"/>
      <c r="AP13" s="4"/>
      <c r="AQ13" s="54"/>
      <c r="AR13" s="44"/>
      <c r="AS13" s="32"/>
      <c r="AT13" s="4"/>
      <c r="AU13" s="4"/>
      <c r="AV13" s="4"/>
      <c r="AW13" s="4"/>
      <c r="AX13" s="4"/>
      <c r="AY13" s="4"/>
      <c r="AZ13" s="4"/>
      <c r="BA13" s="4"/>
      <c r="BB13" s="4"/>
      <c r="BC13" s="4"/>
      <c r="BD13" s="4"/>
      <c r="BE13" s="4"/>
      <c r="BF13" s="4"/>
      <c r="BG13" s="4"/>
      <c r="BH13" s="4"/>
      <c r="BI13" s="4"/>
      <c r="BJ13" s="17"/>
      <c r="BK13" s="17"/>
      <c r="BL13" s="49"/>
      <c r="BM13" s="50"/>
      <c r="BN13" s="4"/>
      <c r="BO13" s="7"/>
      <c r="BP13" s="4"/>
      <c r="BR13" s="51"/>
      <c r="BS13" s="7"/>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row>
    <row r="14" spans="1:151" ht="18" customHeight="1" x14ac:dyDescent="0.2">
      <c r="A14" s="143"/>
      <c r="B14" s="152"/>
      <c r="C14" s="152"/>
      <c r="D14" s="144"/>
      <c r="E14" s="163" t="str">
        <f>IF(OR(B7="",N1=0),"","DER ENTHALTENDEN SAUERSTUFE")</f>
        <v/>
      </c>
      <c r="F14" s="144"/>
      <c r="G14" s="152"/>
      <c r="H14" s="144"/>
      <c r="I14" s="338"/>
      <c r="J14" s="338"/>
      <c r="K14" s="338"/>
      <c r="L14" s="338"/>
      <c r="M14" s="152"/>
      <c r="N14" s="152"/>
      <c r="O14" s="156"/>
      <c r="P14" s="149"/>
      <c r="Q14" s="150"/>
      <c r="R14" s="10"/>
      <c r="S14" s="4"/>
      <c r="T14" s="4"/>
      <c r="U14" s="36"/>
      <c r="V14" s="17"/>
      <c r="W14" s="36"/>
      <c r="X14" s="17"/>
      <c r="Y14" s="17"/>
      <c r="Z14" s="36"/>
      <c r="AA14" s="18"/>
      <c r="AB14" s="6"/>
      <c r="AC14" s="4"/>
      <c r="AD14" s="4"/>
      <c r="AP14" s="4"/>
      <c r="AQ14" s="54"/>
      <c r="AR14" s="44"/>
      <c r="AS14" s="32"/>
      <c r="AT14" s="4"/>
      <c r="AU14" s="4"/>
      <c r="AV14" s="4"/>
      <c r="AW14" s="55"/>
      <c r="AX14" s="56"/>
      <c r="AY14" s="34"/>
      <c r="AZ14" s="34"/>
      <c r="BA14" s="34"/>
      <c r="BB14" s="34"/>
      <c r="BC14" s="34"/>
      <c r="BD14" s="34"/>
      <c r="BE14" s="34"/>
      <c r="BF14" s="34"/>
      <c r="BG14" s="34"/>
      <c r="BH14" s="34"/>
      <c r="BI14" s="4"/>
      <c r="BJ14" s="4"/>
      <c r="BK14" s="4"/>
      <c r="BL14" s="4"/>
      <c r="BM14" s="4"/>
      <c r="BN14" s="7"/>
      <c r="BO14" s="17"/>
      <c r="BP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row>
    <row r="15" spans="1:151" ht="13.5" customHeight="1" x14ac:dyDescent="0.2">
      <c r="A15" s="143"/>
      <c r="B15" s="152"/>
      <c r="C15" s="144"/>
      <c r="D15" s="144"/>
      <c r="E15" s="152"/>
      <c r="F15" s="144"/>
      <c r="G15" s="162"/>
      <c r="H15" s="144"/>
      <c r="I15" s="152"/>
      <c r="J15" s="152"/>
      <c r="K15" s="152"/>
      <c r="L15" s="152"/>
      <c r="M15" s="144"/>
      <c r="N15" s="144"/>
      <c r="O15" s="149"/>
      <c r="P15" s="149"/>
      <c r="Q15" s="150"/>
      <c r="R15" s="2"/>
      <c r="S15" s="36"/>
      <c r="T15" s="57">
        <f>SUM(T28,T44,T60,T74,T88,T99,T107,T115,T130,T152)</f>
        <v>0</v>
      </c>
      <c r="U15" s="36"/>
      <c r="V15" s="36"/>
      <c r="W15" s="36"/>
      <c r="X15" s="17"/>
      <c r="Y15" s="17"/>
      <c r="Z15" s="36"/>
      <c r="AA15" s="18"/>
      <c r="AB15" s="6"/>
      <c r="AC15" s="4"/>
      <c r="AD15" s="4"/>
      <c r="AF15" s="58" t="s">
        <v>46</v>
      </c>
      <c r="AG15" s="58" t="s">
        <v>100</v>
      </c>
      <c r="AH15" s="58" t="s">
        <v>7</v>
      </c>
      <c r="AI15" s="59" t="s">
        <v>91</v>
      </c>
      <c r="AJ15" s="59" t="s">
        <v>4</v>
      </c>
      <c r="AK15" s="59" t="s">
        <v>43</v>
      </c>
      <c r="AL15" s="60" t="s">
        <v>101</v>
      </c>
      <c r="AM15" s="60" t="s">
        <v>4</v>
      </c>
      <c r="AN15" s="60" t="s">
        <v>43</v>
      </c>
      <c r="AP15" s="4"/>
      <c r="AQ15" s="54"/>
      <c r="AR15" s="44"/>
      <c r="AS15" s="32"/>
      <c r="AT15" s="4"/>
      <c r="AU15" s="4"/>
      <c r="AV15" s="4"/>
      <c r="AW15" s="55"/>
      <c r="AX15" s="56"/>
      <c r="AY15" s="34"/>
      <c r="AZ15" s="34"/>
      <c r="BA15" s="34"/>
      <c r="BB15" s="34"/>
      <c r="BC15" s="34"/>
      <c r="BD15" s="34"/>
      <c r="BE15" s="34"/>
      <c r="BF15" s="34"/>
      <c r="BG15" s="34"/>
      <c r="BH15" s="34"/>
      <c r="BI15" s="4"/>
      <c r="BJ15" s="4"/>
      <c r="BK15" s="4"/>
      <c r="BL15" s="17"/>
      <c r="BM15" s="17"/>
      <c r="BN15" s="17"/>
      <c r="BO15" s="17"/>
      <c r="BP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row>
    <row r="16" spans="1:151" ht="21" customHeight="1" x14ac:dyDescent="0.2">
      <c r="A16" s="333"/>
      <c r="B16" s="164"/>
      <c r="C16" s="164"/>
      <c r="D16" s="144"/>
      <c r="E16" s="144"/>
      <c r="F16" s="144"/>
      <c r="G16" s="144"/>
      <c r="H16" s="144"/>
      <c r="I16" s="144"/>
      <c r="J16" s="144"/>
      <c r="K16" s="144"/>
      <c r="L16" s="144"/>
      <c r="M16" s="144"/>
      <c r="N16" s="144"/>
      <c r="O16" s="144"/>
      <c r="P16" s="144"/>
      <c r="Q16" s="144"/>
      <c r="R16" s="2"/>
      <c r="S16" s="36"/>
      <c r="T16" s="36"/>
      <c r="U16" s="36"/>
      <c r="V16" s="36"/>
      <c r="W16" s="36"/>
      <c r="X16" s="17"/>
      <c r="Y16" s="17"/>
      <c r="Z16" s="36"/>
      <c r="AA16" s="4"/>
      <c r="AB16" s="17"/>
      <c r="AC16" s="4"/>
      <c r="AD16" s="7"/>
      <c r="AP16" s="4"/>
      <c r="AQ16" s="54"/>
      <c r="AR16" s="44"/>
      <c r="AS16" s="32"/>
      <c r="AT16" s="4"/>
      <c r="AU16" s="4"/>
      <c r="AV16" s="4"/>
      <c r="AW16" s="55"/>
      <c r="AX16" s="56"/>
      <c r="AY16" s="34"/>
      <c r="AZ16" s="34"/>
      <c r="BA16" s="34"/>
      <c r="BB16" s="34"/>
      <c r="BC16" s="34"/>
      <c r="BD16" s="34"/>
      <c r="BE16" s="34"/>
      <c r="BF16" s="34"/>
      <c r="BG16" s="34"/>
      <c r="BH16" s="34"/>
      <c r="BI16" s="4"/>
      <c r="BJ16" s="4"/>
      <c r="BK16" s="4"/>
      <c r="BL16" s="17"/>
      <c r="BM16" s="17"/>
      <c r="BN16" s="17"/>
      <c r="BO16" s="17"/>
      <c r="BP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row>
    <row r="17" spans="1:151" ht="18" hidden="1" customHeight="1" x14ac:dyDescent="0.25">
      <c r="A17" s="165">
        <f t="shared" ref="A17:A32" si="0">IF(SAUERKÜRZEL=$B$17,1,0)</f>
        <v>0</v>
      </c>
      <c r="B17" s="357" t="s">
        <v>11</v>
      </c>
      <c r="C17" s="144"/>
      <c r="D17" s="144"/>
      <c r="E17" s="259" t="s">
        <v>47</v>
      </c>
      <c r="F17" s="169"/>
      <c r="G17" s="144"/>
      <c r="H17" s="144"/>
      <c r="I17" s="144"/>
      <c r="J17" s="144"/>
      <c r="K17" s="144"/>
      <c r="L17" s="144"/>
      <c r="M17" s="160"/>
      <c r="N17" s="161"/>
      <c r="O17" s="161"/>
      <c r="P17" s="160"/>
      <c r="Q17" s="160"/>
      <c r="R17" s="63"/>
      <c r="S17" s="36"/>
      <c r="T17" s="36"/>
      <c r="U17" s="36"/>
      <c r="V17" s="17"/>
      <c r="W17" s="36"/>
      <c r="X17" s="17"/>
      <c r="Y17" s="17"/>
      <c r="Z17" s="17"/>
      <c r="AA17" s="17"/>
      <c r="AB17" s="4"/>
      <c r="AC17" s="4"/>
      <c r="AD17" s="7"/>
      <c r="AP17" s="4"/>
      <c r="AQ17" s="54"/>
      <c r="AR17" s="44"/>
      <c r="AS17" s="32"/>
      <c r="AT17" s="4"/>
      <c r="AU17" s="4"/>
      <c r="AV17" s="4"/>
      <c r="AW17" s="55"/>
      <c r="AX17" s="56"/>
      <c r="AY17" s="34"/>
      <c r="AZ17" s="34"/>
      <c r="BA17" s="34"/>
      <c r="BB17" s="34"/>
      <c r="BC17" s="34"/>
      <c r="BD17" s="34"/>
      <c r="BE17" s="34"/>
      <c r="BF17" s="34"/>
      <c r="BG17" s="34"/>
      <c r="BH17" s="34"/>
      <c r="BI17" s="4"/>
      <c r="BJ17" s="4"/>
      <c r="BK17" s="4"/>
      <c r="BL17" s="17"/>
      <c r="BM17" s="17"/>
      <c r="BN17" s="17"/>
      <c r="BO17" s="17"/>
      <c r="BP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row>
    <row r="18" spans="1:151" ht="105.75" hidden="1" customHeight="1" x14ac:dyDescent="0.2">
      <c r="A18" s="165">
        <f t="shared" si="0"/>
        <v>0</v>
      </c>
      <c r="B18" s="357"/>
      <c r="C18" s="160"/>
      <c r="D18" s="160"/>
      <c r="E18" s="167" t="s">
        <v>48</v>
      </c>
      <c r="F18" s="170" t="s">
        <v>96</v>
      </c>
      <c r="G18" s="171" t="s">
        <v>97</v>
      </c>
      <c r="H18" s="160"/>
      <c r="I18" s="172" t="s">
        <v>52</v>
      </c>
      <c r="J18" s="170" t="s">
        <v>54</v>
      </c>
      <c r="K18" s="170" t="s">
        <v>56</v>
      </c>
      <c r="L18" s="170" t="s">
        <v>57</v>
      </c>
      <c r="M18" s="170" t="s">
        <v>45</v>
      </c>
      <c r="N18" s="170" t="s">
        <v>58</v>
      </c>
      <c r="O18" s="257" t="s">
        <v>73</v>
      </c>
      <c r="P18" s="173"/>
      <c r="Q18" s="173"/>
      <c r="R18" s="64"/>
      <c r="S18" s="36"/>
      <c r="T18" s="36"/>
      <c r="W18" s="36"/>
      <c r="X18" s="65" t="s">
        <v>50</v>
      </c>
      <c r="Y18" s="65" t="s">
        <v>51</v>
      </c>
      <c r="Z18" s="65" t="s">
        <v>53</v>
      </c>
      <c r="AA18" s="65" t="s">
        <v>55</v>
      </c>
      <c r="AB18" s="4"/>
      <c r="AC18" s="4"/>
      <c r="AD18" s="4"/>
      <c r="AP18" s="4"/>
      <c r="AQ18" s="54"/>
      <c r="AR18" s="44"/>
      <c r="AS18" s="32"/>
      <c r="AT18" s="4"/>
      <c r="AU18" s="4"/>
      <c r="AV18" s="4"/>
      <c r="AW18" s="55"/>
      <c r="AX18" s="56"/>
      <c r="AY18" s="34"/>
      <c r="AZ18" s="34"/>
      <c r="BA18" s="34"/>
      <c r="BB18" s="34"/>
      <c r="BC18" s="34"/>
      <c r="BD18" s="34"/>
      <c r="BE18" s="34"/>
      <c r="BF18" s="34"/>
      <c r="BG18" s="34"/>
      <c r="BH18" s="34"/>
      <c r="BI18" s="4"/>
      <c r="BJ18" s="4"/>
      <c r="BK18" s="4"/>
      <c r="BL18" s="17"/>
      <c r="BM18" s="17"/>
      <c r="BN18" s="17"/>
      <c r="BO18" s="17"/>
      <c r="BP18" s="17"/>
      <c r="BQ18" s="17"/>
      <c r="BR18" s="17"/>
      <c r="BS18" s="66"/>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row>
    <row r="19" spans="1:151" ht="4.5" hidden="1" customHeight="1" x14ac:dyDescent="0.2">
      <c r="A19" s="165">
        <f t="shared" si="0"/>
        <v>0</v>
      </c>
      <c r="B19" s="144"/>
      <c r="C19" s="160"/>
      <c r="D19" s="160"/>
      <c r="E19" s="160"/>
      <c r="F19" s="144"/>
      <c r="G19" s="144"/>
      <c r="H19" s="160"/>
      <c r="I19" s="169"/>
      <c r="J19" s="144"/>
      <c r="K19" s="144"/>
      <c r="L19" s="144"/>
      <c r="M19" s="160"/>
      <c r="N19" s="144"/>
      <c r="O19" s="160"/>
      <c r="P19" s="160"/>
      <c r="Q19" s="160"/>
      <c r="R19" s="63"/>
      <c r="S19" s="36"/>
      <c r="T19" s="36"/>
      <c r="U19" s="36"/>
      <c r="V19" s="17"/>
      <c r="W19" s="36"/>
      <c r="X19" s="17"/>
      <c r="Y19" s="17"/>
      <c r="Z19" s="17"/>
      <c r="AA19" s="17"/>
      <c r="AB19" s="4"/>
      <c r="AD19" s="17"/>
      <c r="AP19" s="4"/>
      <c r="AQ19" s="54"/>
      <c r="AR19" s="44"/>
      <c r="AS19" s="32"/>
      <c r="AT19" s="4"/>
      <c r="AU19" s="4"/>
      <c r="AV19" s="4"/>
      <c r="AW19" s="55"/>
      <c r="AX19" s="56"/>
      <c r="AY19" s="34"/>
      <c r="AZ19" s="34"/>
      <c r="BA19" s="34"/>
      <c r="BB19" s="34"/>
      <c r="BC19" s="34"/>
      <c r="BD19" s="34"/>
      <c r="BE19" s="34"/>
      <c r="BF19" s="34"/>
      <c r="BG19" s="34"/>
      <c r="BH19" s="34"/>
      <c r="BI19" s="4"/>
      <c r="BJ19" s="4"/>
      <c r="BK19" s="4"/>
      <c r="BL19" s="17"/>
      <c r="BM19" s="17"/>
      <c r="BN19" s="17"/>
      <c r="BO19" s="17"/>
      <c r="BP19" s="17"/>
      <c r="BQ19" s="17"/>
      <c r="BR19" s="17"/>
      <c r="BS19" s="66"/>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row>
    <row r="20" spans="1:151" ht="18" hidden="1" x14ac:dyDescent="0.2">
      <c r="A20" s="165">
        <f t="shared" si="0"/>
        <v>0</v>
      </c>
      <c r="B20" s="164" t="s">
        <v>60</v>
      </c>
      <c r="C20" s="160"/>
      <c r="D20" s="160"/>
      <c r="E20" s="160"/>
      <c r="F20" s="262">
        <v>0</v>
      </c>
      <c r="G20" s="263"/>
      <c r="H20" s="264"/>
      <c r="I20" s="265">
        <v>2</v>
      </c>
      <c r="J20" s="261">
        <f>K22/5</f>
        <v>2.0254401071561368E-4</v>
      </c>
      <c r="K20" s="266"/>
      <c r="L20" s="266"/>
      <c r="M20" s="264"/>
      <c r="N20" s="267"/>
      <c r="O20" s="264"/>
      <c r="P20" s="264"/>
      <c r="Q20" s="160"/>
      <c r="R20" s="63"/>
      <c r="S20" s="45"/>
      <c r="T20" s="45"/>
      <c r="U20" s="67">
        <v>10.5</v>
      </c>
      <c r="V20" s="68">
        <v>4</v>
      </c>
      <c r="W20" s="45"/>
      <c r="X20" s="17"/>
      <c r="Y20" s="17"/>
      <c r="Z20" s="17"/>
      <c r="AA20" s="17"/>
      <c r="AB20" s="4"/>
      <c r="AD20" s="4"/>
      <c r="AF20" s="58">
        <f>$AR$5</f>
        <v>1</v>
      </c>
      <c r="AG20" s="58">
        <f>AF20*1.05</f>
        <v>1.05</v>
      </c>
      <c r="AH20" s="69">
        <v>1.9</v>
      </c>
      <c r="AI20" s="70">
        <f>E12</f>
        <v>0.1</v>
      </c>
      <c r="AJ20" s="70">
        <f>AI20/AH20</f>
        <v>5.2631578947368425E-2</v>
      </c>
      <c r="AK20" s="70">
        <f>AI20-AJ20</f>
        <v>4.736842105263158E-2</v>
      </c>
      <c r="AP20" s="4"/>
      <c r="AQ20" s="54"/>
      <c r="AR20" s="44"/>
      <c r="AS20" s="32"/>
      <c r="AT20" s="4"/>
      <c r="AU20" s="4"/>
      <c r="AV20" s="4"/>
      <c r="AW20" s="55"/>
      <c r="AX20" s="56"/>
      <c r="AY20" s="34"/>
      <c r="AZ20" s="34"/>
      <c r="BA20" s="34"/>
      <c r="BB20" s="34"/>
      <c r="BC20" s="34"/>
      <c r="BD20" s="34"/>
      <c r="BE20" s="34"/>
      <c r="BF20" s="34"/>
      <c r="BG20" s="34"/>
      <c r="BH20" s="34"/>
      <c r="BI20" s="4"/>
      <c r="BJ20" s="4"/>
      <c r="BK20" s="4"/>
      <c r="BL20" s="17"/>
      <c r="BM20" s="17"/>
      <c r="BN20" s="17"/>
      <c r="BO20" s="17"/>
      <c r="BP20" s="17"/>
      <c r="BQ20" s="17"/>
      <c r="BR20" s="17"/>
      <c r="BS20" s="66"/>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row>
    <row r="21" spans="1:151" ht="6" hidden="1" customHeight="1" x14ac:dyDescent="0.2">
      <c r="A21" s="165">
        <f t="shared" si="0"/>
        <v>0</v>
      </c>
      <c r="B21" s="164"/>
      <c r="C21" s="160"/>
      <c r="D21" s="160"/>
      <c r="E21" s="160"/>
      <c r="F21" s="174"/>
      <c r="G21" s="144"/>
      <c r="H21" s="160"/>
      <c r="I21" s="177"/>
      <c r="J21" s="175"/>
      <c r="K21" s="175"/>
      <c r="L21" s="175"/>
      <c r="M21" s="160"/>
      <c r="N21" s="176"/>
      <c r="O21" s="160"/>
      <c r="P21" s="160"/>
      <c r="Q21" s="160"/>
      <c r="R21" s="63"/>
      <c r="S21" s="45"/>
      <c r="T21" s="45"/>
      <c r="U21" s="45"/>
      <c r="V21" s="17"/>
      <c r="W21" s="45"/>
      <c r="X21" s="17"/>
      <c r="Y21" s="17"/>
      <c r="Z21" s="17"/>
      <c r="AA21" s="17"/>
      <c r="AB21" s="4"/>
      <c r="AC21" s="71"/>
      <c r="AD21" s="4"/>
      <c r="AP21" s="4"/>
      <c r="AQ21" s="54"/>
      <c r="AR21" s="44"/>
      <c r="AS21" s="32"/>
      <c r="AT21" s="4"/>
      <c r="AU21" s="4"/>
      <c r="AV21" s="4"/>
      <c r="AW21" s="55"/>
      <c r="AX21" s="56"/>
      <c r="AY21" s="34"/>
      <c r="AZ21" s="34"/>
      <c r="BA21" s="34"/>
      <c r="BB21" s="34"/>
      <c r="BC21" s="34"/>
      <c r="BD21" s="34"/>
      <c r="BE21" s="34"/>
      <c r="BF21" s="34"/>
      <c r="BG21" s="34"/>
      <c r="BH21" s="34"/>
      <c r="BI21" s="4"/>
      <c r="BJ21" s="4"/>
      <c r="BK21" s="4"/>
      <c r="BL21" s="17"/>
      <c r="BM21" s="17"/>
      <c r="BN21" s="17"/>
      <c r="BO21" s="17"/>
      <c r="BP21" s="17"/>
      <c r="BQ21" s="17"/>
      <c r="BR21" s="17"/>
      <c r="BS21" s="66"/>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row>
    <row r="22" spans="1:151" ht="17.25" hidden="1" customHeight="1" thickBot="1" x14ac:dyDescent="0.25">
      <c r="A22" s="165">
        <f t="shared" si="0"/>
        <v>0</v>
      </c>
      <c r="B22" s="164" t="s">
        <v>61</v>
      </c>
      <c r="C22" s="160"/>
      <c r="D22" s="160"/>
      <c r="E22" s="160"/>
      <c r="F22" s="132"/>
      <c r="G22" s="268">
        <f>IF(F22=E24,0.9999,IF(E24&lt;F22,(E24+1-F22),(E24-F22)))</f>
        <v>0.99990000000000001</v>
      </c>
      <c r="H22" s="264"/>
      <c r="I22" s="265">
        <f>2*BA1</f>
        <v>2</v>
      </c>
      <c r="J22" s="261">
        <f>Y22+Z22</f>
        <v>2.0254401071561367E-3</v>
      </c>
      <c r="K22" s="269">
        <f>Y22</f>
        <v>1.0127200535780684E-3</v>
      </c>
      <c r="L22" s="269">
        <f>Z22</f>
        <v>1.0127200535780684E-3</v>
      </c>
      <c r="M22" s="264"/>
      <c r="N22" s="270">
        <f>IF(G22&lt;0.229,26,24)</f>
        <v>24</v>
      </c>
      <c r="O22" s="355" t="s">
        <v>28</v>
      </c>
      <c r="P22" s="355"/>
      <c r="Q22" s="178"/>
      <c r="R22" s="73"/>
      <c r="S22" s="36"/>
      <c r="T22" s="36"/>
      <c r="U22" s="36"/>
      <c r="V22" s="17"/>
      <c r="W22" s="36"/>
      <c r="X22" s="74">
        <f>IF(G22&lt;0.125,(G22*23),IF(G22&lt;0.209,(G22*25),IF(G22&lt;0.288,(G22*28),IF(G22&lt;0.375,(G22*30),(G22*33)))))</f>
        <v>32.996699999999997</v>
      </c>
      <c r="Y22" s="75">
        <f>Y24/X24</f>
        <v>1.0127200535780684E-3</v>
      </c>
      <c r="Z22" s="74">
        <f>Y22*(I22-100%)</f>
        <v>1.0127200535780684E-3</v>
      </c>
      <c r="AA22" s="75">
        <f>J20</f>
        <v>2.0254401071561368E-4</v>
      </c>
      <c r="AB22" s="4"/>
      <c r="AD22" s="17"/>
      <c r="AP22" s="4"/>
      <c r="AQ22" s="54"/>
      <c r="AR22" s="44"/>
      <c r="AS22" s="32"/>
      <c r="AT22" s="4"/>
      <c r="AU22" s="4"/>
      <c r="AV22" s="4"/>
      <c r="AW22" s="55"/>
      <c r="AX22" s="56"/>
      <c r="AY22" s="34"/>
      <c r="AZ22" s="34"/>
      <c r="BA22" s="34"/>
      <c r="BB22" s="34"/>
      <c r="BC22" s="34"/>
      <c r="BD22" s="34"/>
      <c r="BE22" s="34"/>
      <c r="BF22" s="34"/>
      <c r="BG22" s="34"/>
      <c r="BH22" s="34"/>
      <c r="BI22" s="4"/>
      <c r="BJ22" s="4"/>
      <c r="BK22" s="4"/>
      <c r="BL22" s="17"/>
      <c r="BM22" s="17"/>
      <c r="BN22" s="17"/>
      <c r="BO22" s="17"/>
      <c r="BP22" s="17"/>
      <c r="BQ22" s="17"/>
      <c r="BR22" s="17"/>
      <c r="BS22" s="66"/>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row>
    <row r="23" spans="1:151" s="8" customFormat="1" ht="5.25" hidden="1" customHeight="1" x14ac:dyDescent="0.2">
      <c r="A23" s="165">
        <f t="shared" si="0"/>
        <v>0</v>
      </c>
      <c r="B23" s="164"/>
      <c r="C23" s="160"/>
      <c r="D23" s="160"/>
      <c r="E23" s="168"/>
      <c r="F23" s="192"/>
      <c r="G23" s="271"/>
      <c r="H23" s="264"/>
      <c r="I23" s="272"/>
      <c r="J23" s="266"/>
      <c r="K23" s="273"/>
      <c r="L23" s="273"/>
      <c r="M23" s="264"/>
      <c r="N23" s="274"/>
      <c r="O23" s="275"/>
      <c r="P23" s="275"/>
      <c r="Q23" s="181"/>
      <c r="R23" s="73"/>
      <c r="S23" s="17"/>
      <c r="T23" s="17"/>
      <c r="U23" s="17"/>
      <c r="V23" s="4"/>
      <c r="W23" s="17"/>
      <c r="X23" s="76"/>
      <c r="Y23" s="77"/>
      <c r="Z23" s="76"/>
      <c r="AA23" s="77"/>
      <c r="AB23" s="4"/>
      <c r="AC23" s="78"/>
      <c r="AD23" s="17"/>
      <c r="AP23" s="4"/>
      <c r="AQ23" s="54"/>
      <c r="AR23" s="44"/>
      <c r="AS23" s="32"/>
      <c r="AT23" s="4"/>
      <c r="AU23" s="4"/>
      <c r="AV23" s="4"/>
      <c r="AW23" s="55"/>
      <c r="AX23" s="56"/>
      <c r="AY23" s="34"/>
      <c r="AZ23" s="34"/>
      <c r="BA23" s="34"/>
      <c r="BB23" s="34"/>
      <c r="BC23" s="34"/>
      <c r="BD23" s="34"/>
      <c r="BE23" s="34"/>
      <c r="BF23" s="34"/>
      <c r="BG23" s="34"/>
      <c r="BH23" s="34"/>
      <c r="BI23" s="4"/>
      <c r="BJ23" s="4"/>
      <c r="BK23" s="4"/>
      <c r="BL23" s="4"/>
      <c r="BM23" s="4"/>
      <c r="BN23" s="4"/>
      <c r="BO23" s="4"/>
      <c r="BP23" s="4"/>
      <c r="BQ23" s="4"/>
      <c r="BR23" s="4"/>
      <c r="BS23" s="66"/>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row>
    <row r="24" spans="1:151" ht="17.25" hidden="1" customHeight="1" thickBot="1" x14ac:dyDescent="0.25">
      <c r="A24" s="165">
        <f t="shared" si="0"/>
        <v>0</v>
      </c>
      <c r="B24" s="164" t="s">
        <v>62</v>
      </c>
      <c r="C24" s="160"/>
      <c r="D24" s="160"/>
      <c r="E24" s="132"/>
      <c r="F24" s="271">
        <f>E24</f>
        <v>0</v>
      </c>
      <c r="G24" s="276">
        <f>IF(F24=E26,0.9999,IF(E26&lt;E24,(E26+1-E24),(E26-E24)))</f>
        <v>0.99990000000000001</v>
      </c>
      <c r="H24" s="264"/>
      <c r="I24" s="265">
        <f>1.6*BA1</f>
        <v>1.6</v>
      </c>
      <c r="J24" s="261">
        <f>Y24+Z24</f>
        <v>5.3466271667039114E-2</v>
      </c>
      <c r="K24" s="269">
        <f>Y24-Y22-M24</f>
        <v>3.2403699738321377E-2</v>
      </c>
      <c r="L24" s="269">
        <f>Z24-Z22</f>
        <v>1.9037131821561602E-2</v>
      </c>
      <c r="M24" s="277">
        <f>$AU$6</f>
        <v>0</v>
      </c>
      <c r="N24" s="270">
        <f>IF(G24&lt;0.33,24,23)</f>
        <v>23</v>
      </c>
      <c r="O24" s="355" t="s">
        <v>29</v>
      </c>
      <c r="P24" s="355"/>
      <c r="Q24" s="178"/>
      <c r="R24" s="73"/>
      <c r="S24" s="17"/>
      <c r="T24" s="17"/>
      <c r="U24" s="17"/>
      <c r="V24" s="17"/>
      <c r="W24" s="17"/>
      <c r="X24" s="74">
        <f>IF(G24&lt;0.125,(G24*23),IF(G24&lt;0.209,(G24*27),IF(G24&lt;0.288,(G24*29),IF(G24&lt;0.375,(G24*31),(G24*33)))))</f>
        <v>32.996699999999997</v>
      </c>
      <c r="Y24" s="75">
        <f>Y26/X26</f>
        <v>3.3416419791899445E-2</v>
      </c>
      <c r="Z24" s="74">
        <f>Y24*(I24-100%)</f>
        <v>2.004985187513967E-2</v>
      </c>
      <c r="AA24" s="75">
        <f>J22</f>
        <v>2.0254401071561367E-3</v>
      </c>
      <c r="AB24" s="4"/>
      <c r="AD24" s="17"/>
      <c r="AP24" s="4"/>
      <c r="AQ24" s="54"/>
      <c r="AR24" s="44"/>
      <c r="AS24" s="32"/>
      <c r="AT24" s="4"/>
      <c r="AU24" s="4"/>
      <c r="AV24" s="4"/>
      <c r="AW24" s="55"/>
      <c r="AX24" s="56"/>
      <c r="AY24" s="34"/>
      <c r="AZ24" s="34"/>
      <c r="BA24" s="34"/>
      <c r="BB24" s="34"/>
      <c r="BC24" s="34"/>
      <c r="BD24" s="34"/>
      <c r="BE24" s="34"/>
      <c r="BF24" s="34"/>
      <c r="BG24" s="34"/>
      <c r="BH24" s="34"/>
      <c r="BI24" s="4"/>
      <c r="BJ24" s="4"/>
      <c r="BK24" s="4"/>
      <c r="BL24" s="17"/>
      <c r="BM24" s="17"/>
      <c r="BN24" s="17"/>
      <c r="BO24" s="17"/>
      <c r="BP24" s="17"/>
      <c r="BQ24" s="17"/>
      <c r="BR24" s="17"/>
      <c r="BS24" s="66"/>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row>
    <row r="25" spans="1:151" s="8" customFormat="1" ht="5.25" hidden="1" customHeight="1" x14ac:dyDescent="0.2">
      <c r="A25" s="165">
        <f t="shared" si="0"/>
        <v>0</v>
      </c>
      <c r="B25" s="164"/>
      <c r="C25" s="160"/>
      <c r="D25" s="160"/>
      <c r="E25" s="134"/>
      <c r="F25" s="264"/>
      <c r="G25" s="271"/>
      <c r="H25" s="264"/>
      <c r="I25" s="272"/>
      <c r="J25" s="266"/>
      <c r="K25" s="273"/>
      <c r="L25" s="273"/>
      <c r="M25" s="278"/>
      <c r="N25" s="274"/>
      <c r="O25" s="275"/>
      <c r="P25" s="275"/>
      <c r="Q25" s="181"/>
      <c r="R25" s="73"/>
      <c r="S25" s="17"/>
      <c r="T25" s="17"/>
      <c r="U25" s="17"/>
      <c r="V25" s="4"/>
      <c r="W25" s="17"/>
      <c r="X25" s="76"/>
      <c r="Y25" s="77"/>
      <c r="Z25" s="76"/>
      <c r="AA25" s="77"/>
      <c r="AB25" s="4"/>
      <c r="AC25" s="55"/>
      <c r="AD25" s="17"/>
      <c r="AP25" s="4"/>
      <c r="AQ25" s="54"/>
      <c r="AR25" s="44"/>
      <c r="AS25" s="32"/>
      <c r="AT25" s="4"/>
      <c r="AU25" s="4"/>
      <c r="AV25" s="4"/>
      <c r="AW25" s="55"/>
      <c r="AX25" s="56"/>
      <c r="AY25" s="34"/>
      <c r="AZ25" s="34"/>
      <c r="BA25" s="34"/>
      <c r="BB25" s="34"/>
      <c r="BC25" s="34"/>
      <c r="BD25" s="34"/>
      <c r="BE25" s="34"/>
      <c r="BF25" s="34"/>
      <c r="BG25" s="34"/>
      <c r="BH25" s="34"/>
      <c r="BI25" s="4"/>
      <c r="BJ25" s="4"/>
      <c r="BK25" s="4"/>
      <c r="BL25" s="4"/>
      <c r="BM25" s="4"/>
      <c r="BN25" s="4"/>
      <c r="BO25" s="4"/>
      <c r="BP25" s="4"/>
      <c r="BQ25" s="4"/>
      <c r="BR25" s="4"/>
      <c r="BS25" s="66"/>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row>
    <row r="26" spans="1:151" ht="17.25" hidden="1" customHeight="1" thickBot="1" x14ac:dyDescent="0.25">
      <c r="A26" s="165">
        <f t="shared" si="0"/>
        <v>0</v>
      </c>
      <c r="B26" s="164" t="s">
        <v>63</v>
      </c>
      <c r="C26" s="160"/>
      <c r="D26" s="160"/>
      <c r="E26" s="131"/>
      <c r="F26" s="279">
        <f>E26</f>
        <v>0</v>
      </c>
      <c r="G26" s="276">
        <f>IF(E26=E28,0.9999,IF(E28&lt;E26,(E28+1-E26),(E28-E26)))</f>
        <v>0.99990000000000001</v>
      </c>
      <c r="H26" s="264"/>
      <c r="I26" s="265">
        <f>AH20*BA1</f>
        <v>1.9</v>
      </c>
      <c r="J26" s="261">
        <f>Y26+Z26</f>
        <v>2.0949999999999998</v>
      </c>
      <c r="K26" s="269">
        <f>Y26-Y24</f>
        <v>1.0692151591554691</v>
      </c>
      <c r="L26" s="269">
        <f>Z26-Z24</f>
        <v>0.97231856917749182</v>
      </c>
      <c r="M26" s="264"/>
      <c r="N26" s="270" t="s">
        <v>17</v>
      </c>
      <c r="O26" s="355" t="s">
        <v>21</v>
      </c>
      <c r="P26" s="355"/>
      <c r="Q26" s="178"/>
      <c r="R26" s="73"/>
      <c r="S26" s="17"/>
      <c r="T26" s="17"/>
      <c r="U26" s="17"/>
      <c r="V26" s="17"/>
      <c r="W26" s="17"/>
      <c r="X26" s="74">
        <f>IF(G26&lt;0.125,(G26*23),IF(G26&lt;0.209,(G26*25),IF(G26&lt;0.288,(G26*29),IF(G26&lt;0.375,(G26*31),(G26*33)))))</f>
        <v>32.996699999999997</v>
      </c>
      <c r="Y26" s="81">
        <f>SUM(AG20,AJ20)</f>
        <v>1.1026315789473684</v>
      </c>
      <c r="Z26" s="74">
        <f>Y26*(I26-100%)</f>
        <v>0.99236842105263146</v>
      </c>
      <c r="AA26" s="75">
        <f>J24</f>
        <v>5.3466271667039114E-2</v>
      </c>
      <c r="AB26" s="4"/>
      <c r="AD26" s="17"/>
      <c r="AP26" s="4"/>
      <c r="AQ26" s="54"/>
      <c r="AR26" s="44"/>
      <c r="AS26" s="32"/>
      <c r="AT26" s="4"/>
      <c r="AU26" s="4"/>
      <c r="AV26" s="4"/>
      <c r="AW26" s="55"/>
      <c r="AX26" s="56"/>
      <c r="AY26" s="34"/>
      <c r="AZ26" s="34"/>
      <c r="BA26" s="34"/>
      <c r="BB26" s="34"/>
      <c r="BC26" s="34"/>
      <c r="BD26" s="34"/>
      <c r="BE26" s="34"/>
      <c r="BF26" s="34"/>
      <c r="BG26" s="34"/>
      <c r="BH26" s="34"/>
      <c r="BI26" s="4"/>
      <c r="BJ26" s="4"/>
      <c r="BK26" s="4"/>
      <c r="BL26" s="17"/>
      <c r="BM26" s="17"/>
      <c r="BN26" s="17"/>
      <c r="BO26" s="17"/>
      <c r="BP26" s="17"/>
      <c r="BQ26" s="17"/>
      <c r="BR26" s="17"/>
      <c r="BS26" s="66"/>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row>
    <row r="27" spans="1:151" s="8" customFormat="1" ht="7.5" hidden="1" customHeight="1" x14ac:dyDescent="0.2">
      <c r="A27" s="165">
        <f t="shared" si="0"/>
        <v>0</v>
      </c>
      <c r="B27" s="164"/>
      <c r="C27" s="160"/>
      <c r="D27" s="160"/>
      <c r="E27" s="134"/>
      <c r="F27" s="160"/>
      <c r="G27" s="166"/>
      <c r="H27" s="183"/>
      <c r="I27" s="177"/>
      <c r="J27" s="184"/>
      <c r="K27" s="185"/>
      <c r="L27" s="186"/>
      <c r="M27" s="160"/>
      <c r="N27" s="180"/>
      <c r="O27" s="181"/>
      <c r="P27" s="181"/>
      <c r="Q27" s="181"/>
      <c r="R27" s="73"/>
      <c r="S27" s="17"/>
      <c r="T27" s="17"/>
      <c r="U27" s="17"/>
      <c r="V27" s="4"/>
      <c r="W27" s="17"/>
      <c r="X27" s="17"/>
      <c r="Y27" s="17"/>
      <c r="Z27" s="17"/>
      <c r="AA27" s="17"/>
      <c r="AB27" s="4"/>
      <c r="AC27" s="4"/>
      <c r="AD27" s="17"/>
      <c r="AP27" s="4"/>
      <c r="AQ27" s="54"/>
      <c r="AR27" s="44"/>
      <c r="AS27" s="32"/>
      <c r="AT27" s="4"/>
      <c r="AU27" s="4"/>
      <c r="AV27" s="4"/>
      <c r="AW27" s="55"/>
      <c r="AX27" s="56"/>
      <c r="AY27" s="34"/>
      <c r="AZ27" s="34"/>
      <c r="BA27" s="34"/>
      <c r="BB27" s="34"/>
      <c r="BC27" s="34"/>
      <c r="BD27" s="34"/>
      <c r="BE27" s="34"/>
      <c r="BF27" s="34"/>
      <c r="BG27" s="34"/>
      <c r="BH27" s="34"/>
      <c r="BI27" s="4"/>
      <c r="BJ27" s="4"/>
      <c r="BK27" s="4"/>
      <c r="BL27" s="4"/>
      <c r="BM27" s="4"/>
      <c r="BN27" s="4"/>
      <c r="BO27" s="4"/>
      <c r="BP27" s="4"/>
      <c r="BQ27" s="4"/>
      <c r="BR27" s="4"/>
      <c r="BS27" s="66"/>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row>
    <row r="28" spans="1:151" s="8" customFormat="1" ht="17.25" hidden="1" customHeight="1" thickBot="1" x14ac:dyDescent="0.25">
      <c r="A28" s="165">
        <f t="shared" si="0"/>
        <v>0</v>
      </c>
      <c r="B28" s="164" t="s">
        <v>95</v>
      </c>
      <c r="C28" s="160"/>
      <c r="D28" s="166"/>
      <c r="E28" s="131"/>
      <c r="F28" s="160"/>
      <c r="G28" s="177"/>
      <c r="H28" s="183"/>
      <c r="I28" s="184"/>
      <c r="J28" s="184"/>
      <c r="K28" s="185"/>
      <c r="L28" s="186"/>
      <c r="M28" s="160"/>
      <c r="N28" s="180"/>
      <c r="O28" s="181"/>
      <c r="P28" s="181"/>
      <c r="Q28" s="181"/>
      <c r="R28" s="73"/>
      <c r="S28" s="17"/>
      <c r="T28" s="82">
        <f>IF(U28&lt;&gt;"",U28,0)</f>
        <v>0</v>
      </c>
      <c r="U28" s="83" t="str">
        <f>IF(A20&lt;&gt;1,"",IF(K24&lt;0,101%,M24/SUM(M24,K24)))</f>
        <v/>
      </c>
      <c r="V28" s="4"/>
      <c r="W28" s="17"/>
      <c r="X28" s="17"/>
      <c r="Y28" s="17"/>
      <c r="Z28" s="17"/>
      <c r="AA28" s="17"/>
      <c r="AB28" s="4"/>
      <c r="AD28" s="17"/>
      <c r="AP28" s="4"/>
      <c r="AQ28" s="54"/>
      <c r="AR28" s="44"/>
      <c r="AS28" s="32"/>
      <c r="AT28" s="4"/>
      <c r="AU28" s="4"/>
      <c r="AV28" s="4"/>
      <c r="AW28" s="55"/>
      <c r="AX28" s="56"/>
      <c r="AY28" s="34"/>
      <c r="AZ28" s="34"/>
      <c r="BA28" s="34"/>
      <c r="BB28" s="34"/>
      <c r="BC28" s="34"/>
      <c r="BD28" s="34"/>
      <c r="BE28" s="34"/>
      <c r="BF28" s="34"/>
      <c r="BG28" s="34"/>
      <c r="BH28" s="34"/>
      <c r="BI28" s="4"/>
      <c r="BJ28" s="4"/>
      <c r="BK28" s="4"/>
      <c r="BL28" s="4"/>
      <c r="BM28" s="4"/>
      <c r="BN28" s="4"/>
      <c r="BO28" s="4"/>
      <c r="BP28" s="4"/>
      <c r="BQ28" s="4"/>
      <c r="BR28" s="4"/>
      <c r="BS28" s="66"/>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row>
    <row r="29" spans="1:151" ht="7.5" hidden="1" customHeight="1" x14ac:dyDescent="0.2">
      <c r="A29" s="165">
        <f t="shared" si="0"/>
        <v>0</v>
      </c>
      <c r="B29" s="160"/>
      <c r="C29" s="176"/>
      <c r="D29" s="176"/>
      <c r="E29" s="176"/>
      <c r="F29" s="176"/>
      <c r="G29" s="177"/>
      <c r="H29" s="176"/>
      <c r="I29" s="176"/>
      <c r="J29" s="176"/>
      <c r="K29" s="176"/>
      <c r="L29" s="176"/>
      <c r="M29" s="160"/>
      <c r="N29" s="176"/>
      <c r="O29" s="160"/>
      <c r="P29" s="160"/>
      <c r="Q29" s="160"/>
      <c r="R29" s="63"/>
      <c r="S29" s="17"/>
      <c r="T29" s="17"/>
      <c r="U29" s="17"/>
      <c r="V29" s="17"/>
      <c r="W29" s="17"/>
      <c r="X29" s="17"/>
      <c r="Y29" s="17"/>
      <c r="Z29" s="17"/>
      <c r="AA29" s="17"/>
      <c r="AB29" s="17"/>
      <c r="AC29" s="17"/>
      <c r="AD29" s="17"/>
      <c r="AP29" s="4"/>
      <c r="AQ29" s="54"/>
      <c r="AR29" s="44"/>
      <c r="AS29" s="32"/>
      <c r="AT29" s="4"/>
      <c r="AU29" s="4"/>
      <c r="AV29" s="4"/>
      <c r="AW29" s="55"/>
      <c r="AX29" s="56"/>
      <c r="AY29" s="34"/>
      <c r="AZ29" s="34"/>
      <c r="BA29" s="34"/>
      <c r="BB29" s="34"/>
      <c r="BC29" s="34"/>
      <c r="BD29" s="34"/>
      <c r="BE29" s="34"/>
      <c r="BF29" s="34"/>
      <c r="BG29" s="34"/>
      <c r="BH29" s="34"/>
      <c r="BI29" s="4"/>
      <c r="BJ29" s="4"/>
      <c r="BK29" s="4"/>
      <c r="BL29" s="17"/>
      <c r="BM29" s="17"/>
      <c r="BN29" s="17"/>
      <c r="BO29" s="17"/>
      <c r="BP29" s="17"/>
      <c r="BQ29" s="17"/>
      <c r="BR29" s="17"/>
      <c r="BS29" s="66"/>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row>
    <row r="30" spans="1:151" ht="18" hidden="1" x14ac:dyDescent="0.2">
      <c r="A30" s="165">
        <f t="shared" si="0"/>
        <v>0</v>
      </c>
      <c r="B30" s="84"/>
      <c r="C30" s="160"/>
      <c r="D30" s="160"/>
      <c r="E30" s="287" t="str">
        <f>IF(SUM(F22,E24,E26,E28)=0,"ZEITEN EINGEBEN",IF(OR(OR(G22&lt;0.208,G22&gt;0.334),OR(G24&lt;0.31249,G24&gt;0.4166667),OR(G26&lt;0.1249,G26&gt;0.166667)),"ZEITEINGABEN KORRIGIEREN",""))</f>
        <v>ZEITEN EINGEBEN</v>
      </c>
      <c r="F30" s="187"/>
      <c r="G30" s="187"/>
      <c r="H30" s="187"/>
      <c r="I30" s="188"/>
      <c r="J30" s="160"/>
      <c r="K30" s="160"/>
      <c r="L30" s="160"/>
      <c r="M30" s="160"/>
      <c r="N30" s="176"/>
      <c r="O30" s="160"/>
      <c r="P30" s="160"/>
      <c r="Q30" s="160"/>
      <c r="R30" s="63"/>
      <c r="S30" s="85"/>
      <c r="T30" s="85"/>
      <c r="U30" s="85"/>
      <c r="V30" s="17"/>
      <c r="W30" s="17"/>
      <c r="X30" s="17"/>
      <c r="Y30" s="17"/>
      <c r="Z30" s="17"/>
      <c r="AA30" s="17"/>
      <c r="AB30" s="17"/>
      <c r="AC30" s="17"/>
      <c r="AD30" s="85"/>
      <c r="AP30" s="4"/>
      <c r="AQ30" s="54"/>
      <c r="AR30" s="44"/>
      <c r="AS30" s="32"/>
      <c r="AT30" s="4"/>
      <c r="AU30" s="4"/>
      <c r="AV30" s="4"/>
      <c r="AW30" s="55"/>
      <c r="AX30" s="56"/>
      <c r="AY30" s="34"/>
      <c r="AZ30" s="34"/>
      <c r="BA30" s="34"/>
      <c r="BB30" s="34"/>
      <c r="BC30" s="34"/>
      <c r="BD30" s="34"/>
      <c r="BE30" s="34"/>
      <c r="BF30" s="34"/>
      <c r="BG30" s="34"/>
      <c r="BH30" s="34"/>
      <c r="BI30" s="4"/>
      <c r="BJ30" s="4"/>
      <c r="BK30" s="4"/>
      <c r="BL30" s="17"/>
      <c r="BM30" s="17"/>
      <c r="BN30" s="17"/>
      <c r="BO30" s="17"/>
      <c r="BP30" s="17"/>
      <c r="BQ30" s="17"/>
      <c r="BR30" s="17"/>
      <c r="BS30" s="66"/>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row>
    <row r="31" spans="1:151" ht="18" hidden="1" x14ac:dyDescent="0.2">
      <c r="A31" s="165">
        <f t="shared" si="0"/>
        <v>0</v>
      </c>
      <c r="B31" s="84"/>
      <c r="C31" s="190"/>
      <c r="D31" s="191"/>
      <c r="E31" s="191"/>
      <c r="F31" s="150"/>
      <c r="G31" s="189"/>
      <c r="H31" s="190"/>
      <c r="I31" s="191"/>
      <c r="J31" s="191"/>
      <c r="K31" s="190"/>
      <c r="L31" s="191"/>
      <c r="M31" s="191"/>
      <c r="N31" s="176"/>
      <c r="O31" s="160"/>
      <c r="P31" s="160"/>
      <c r="Q31" s="160"/>
      <c r="R31" s="63"/>
      <c r="S31" s="17"/>
      <c r="T31" s="17"/>
      <c r="U31" s="17"/>
      <c r="V31" s="17"/>
      <c r="W31" s="17"/>
      <c r="X31" s="65"/>
      <c r="Y31" s="65"/>
      <c r="Z31" s="65"/>
      <c r="AA31" s="65"/>
      <c r="AB31" s="17"/>
      <c r="AC31" s="17"/>
      <c r="AD31" s="17"/>
      <c r="AP31" s="4"/>
      <c r="AQ31" s="54"/>
      <c r="AR31" s="44"/>
      <c r="AS31" s="32"/>
      <c r="AT31" s="4"/>
      <c r="AU31" s="4"/>
      <c r="AV31" s="4"/>
      <c r="AW31" s="55"/>
      <c r="AX31" s="56"/>
      <c r="AY31" s="34"/>
      <c r="AZ31" s="34"/>
      <c r="BA31" s="34"/>
      <c r="BB31" s="34"/>
      <c r="BC31" s="34"/>
      <c r="BD31" s="34"/>
      <c r="BE31" s="34"/>
      <c r="BF31" s="34"/>
      <c r="BG31" s="34"/>
      <c r="BH31" s="34"/>
      <c r="BI31" s="4"/>
      <c r="BJ31" s="4"/>
      <c r="BK31" s="4"/>
      <c r="BL31" s="17"/>
      <c r="BM31" s="17"/>
      <c r="BN31" s="17"/>
      <c r="BO31" s="17"/>
      <c r="BP31" s="17"/>
      <c r="BQ31" s="17"/>
      <c r="BR31" s="17"/>
      <c r="BS31" s="66"/>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row>
    <row r="32" spans="1:151" ht="18" hidden="1" x14ac:dyDescent="0.2">
      <c r="A32" s="165">
        <f t="shared" si="0"/>
        <v>0</v>
      </c>
      <c r="B32" s="61"/>
      <c r="C32" s="164"/>
      <c r="D32" s="144"/>
      <c r="E32" s="160"/>
      <c r="F32" s="169"/>
      <c r="G32" s="144"/>
      <c r="H32" s="144"/>
      <c r="I32" s="144"/>
      <c r="J32" s="144"/>
      <c r="K32" s="144"/>
      <c r="L32" s="160"/>
      <c r="M32" s="144"/>
      <c r="N32" s="160"/>
      <c r="O32" s="160"/>
      <c r="P32" s="160"/>
      <c r="Q32" s="160"/>
      <c r="R32" s="63"/>
      <c r="S32" s="17"/>
      <c r="T32" s="17"/>
      <c r="U32" s="17"/>
      <c r="V32" s="17"/>
      <c r="W32" s="17"/>
      <c r="X32" s="65"/>
      <c r="Y32" s="75"/>
      <c r="Z32" s="65"/>
      <c r="AA32" s="65"/>
      <c r="AB32" s="17"/>
      <c r="AC32" s="17"/>
      <c r="AD32" s="17"/>
      <c r="AP32" s="4"/>
      <c r="AQ32" s="54"/>
      <c r="AR32" s="44"/>
      <c r="AS32" s="32"/>
      <c r="AT32" s="4"/>
      <c r="AU32" s="4"/>
      <c r="AV32" s="4"/>
      <c r="AW32" s="55"/>
      <c r="AX32" s="56"/>
      <c r="AY32" s="34"/>
      <c r="AZ32" s="34"/>
      <c r="BA32" s="34"/>
      <c r="BB32" s="34"/>
      <c r="BC32" s="34"/>
      <c r="BD32" s="34"/>
      <c r="BE32" s="34"/>
      <c r="BF32" s="34"/>
      <c r="BG32" s="34"/>
      <c r="BH32" s="34"/>
      <c r="BI32" s="4"/>
      <c r="BJ32" s="4"/>
      <c r="BK32" s="4"/>
      <c r="BL32" s="17"/>
      <c r="BM32" s="17"/>
      <c r="BN32" s="17"/>
      <c r="BO32" s="17"/>
      <c r="BP32" s="17"/>
      <c r="BQ32" s="17"/>
      <c r="BR32" s="17"/>
      <c r="BS32" s="66"/>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row>
    <row r="33" spans="1:151" ht="18" hidden="1" x14ac:dyDescent="0.25">
      <c r="A33" s="165">
        <f t="shared" ref="A33:A48" si="1">IF(SAUERKÜRZEL=$B$33,1,0)</f>
        <v>0</v>
      </c>
      <c r="B33" s="357" t="s">
        <v>10</v>
      </c>
      <c r="C33" s="144"/>
      <c r="D33" s="144"/>
      <c r="E33" s="259" t="s">
        <v>64</v>
      </c>
      <c r="F33" s="169"/>
      <c r="G33" s="144"/>
      <c r="H33" s="144"/>
      <c r="I33" s="144"/>
      <c r="J33" s="144"/>
      <c r="K33" s="144"/>
      <c r="L33" s="160"/>
      <c r="M33" s="144"/>
      <c r="N33" s="161"/>
      <c r="O33" s="161"/>
      <c r="P33" s="160"/>
      <c r="Q33" s="160"/>
      <c r="R33" s="63"/>
      <c r="S33" s="17"/>
      <c r="T33" s="17"/>
      <c r="U33" s="17"/>
      <c r="V33" s="17"/>
      <c r="W33" s="17"/>
      <c r="X33" s="65"/>
      <c r="Y33" s="75"/>
      <c r="Z33" s="65"/>
      <c r="AA33" s="65"/>
      <c r="AB33" s="17"/>
      <c r="AC33" s="17"/>
      <c r="AD33" s="17"/>
      <c r="AP33" s="4"/>
      <c r="AQ33" s="54"/>
      <c r="AR33" s="44"/>
      <c r="AS33" s="32"/>
      <c r="AT33" s="4"/>
      <c r="AU33" s="4"/>
      <c r="AV33" s="4"/>
      <c r="AW33" s="55"/>
      <c r="AX33" s="56"/>
      <c r="AY33" s="34"/>
      <c r="AZ33" s="34"/>
      <c r="BA33" s="34"/>
      <c r="BB33" s="34"/>
      <c r="BC33" s="34"/>
      <c r="BD33" s="34"/>
      <c r="BE33" s="34"/>
      <c r="BF33" s="34"/>
      <c r="BG33" s="34"/>
      <c r="BH33" s="34"/>
      <c r="BI33" s="4"/>
      <c r="BJ33" s="4"/>
      <c r="BK33" s="4"/>
      <c r="BL33" s="17"/>
      <c r="BM33" s="17"/>
      <c r="BN33" s="17"/>
      <c r="BO33" s="17"/>
      <c r="BP33" s="17"/>
      <c r="BQ33" s="17"/>
      <c r="BR33" s="17"/>
      <c r="BS33" s="66"/>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row>
    <row r="34" spans="1:151" ht="102" hidden="1" customHeight="1" x14ac:dyDescent="0.2">
      <c r="A34" s="165">
        <f t="shared" si="1"/>
        <v>0</v>
      </c>
      <c r="B34" s="357"/>
      <c r="C34" s="160"/>
      <c r="D34" s="160"/>
      <c r="E34" s="170" t="s">
        <v>96</v>
      </c>
      <c r="F34" s="170" t="s">
        <v>48</v>
      </c>
      <c r="G34" s="167" t="s">
        <v>49</v>
      </c>
      <c r="H34" s="160"/>
      <c r="I34" s="172" t="s">
        <v>52</v>
      </c>
      <c r="J34" s="170" t="s">
        <v>54</v>
      </c>
      <c r="K34" s="170" t="s">
        <v>56</v>
      </c>
      <c r="L34" s="170" t="s">
        <v>57</v>
      </c>
      <c r="M34" s="170" t="s">
        <v>45</v>
      </c>
      <c r="N34" s="170" t="s">
        <v>58</v>
      </c>
      <c r="O34" s="257" t="s">
        <v>73</v>
      </c>
      <c r="P34" s="173"/>
      <c r="Q34" s="173"/>
      <c r="R34" s="63"/>
      <c r="S34" s="87"/>
      <c r="T34" s="87"/>
      <c r="W34" s="17"/>
      <c r="X34" s="65" t="s">
        <v>50</v>
      </c>
      <c r="Y34" s="65" t="s">
        <v>51</v>
      </c>
      <c r="Z34" s="65" t="s">
        <v>53</v>
      </c>
      <c r="AA34" s="65" t="s">
        <v>55</v>
      </c>
      <c r="AB34" s="17"/>
      <c r="AC34" s="17"/>
      <c r="AD34" s="88"/>
      <c r="AP34" s="4"/>
      <c r="AQ34" s="54"/>
      <c r="AR34" s="44"/>
      <c r="AS34" s="32"/>
      <c r="AT34" s="4"/>
      <c r="AU34" s="4"/>
      <c r="AV34" s="4"/>
      <c r="AW34" s="55"/>
      <c r="AX34" s="56"/>
      <c r="AY34" s="34"/>
      <c r="AZ34" s="34"/>
      <c r="BA34" s="34"/>
      <c r="BB34" s="34"/>
      <c r="BC34" s="34"/>
      <c r="BD34" s="34"/>
      <c r="BE34" s="34"/>
      <c r="BF34" s="34"/>
      <c r="BG34" s="34"/>
      <c r="BH34" s="34"/>
      <c r="BI34" s="4"/>
      <c r="BJ34" s="4"/>
      <c r="BK34" s="4"/>
      <c r="BL34" s="17"/>
      <c r="BM34" s="17"/>
      <c r="BN34" s="17"/>
      <c r="BO34" s="17"/>
      <c r="BP34" s="17"/>
      <c r="BQ34" s="17"/>
      <c r="BR34" s="17"/>
      <c r="BS34" s="66"/>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row>
    <row r="35" spans="1:151" ht="18" hidden="1" x14ac:dyDescent="0.2">
      <c r="A35" s="165">
        <f t="shared" si="1"/>
        <v>0</v>
      </c>
      <c r="B35" s="144"/>
      <c r="C35" s="144"/>
      <c r="D35" s="144"/>
      <c r="E35" s="160"/>
      <c r="F35" s="160"/>
      <c r="G35" s="160"/>
      <c r="H35" s="160"/>
      <c r="I35" s="169"/>
      <c r="J35" s="144"/>
      <c r="K35" s="144"/>
      <c r="L35" s="144"/>
      <c r="M35" s="160"/>
      <c r="N35" s="144"/>
      <c r="O35" s="160"/>
      <c r="P35" s="160"/>
      <c r="Q35" s="160"/>
      <c r="R35" s="63"/>
      <c r="S35" s="89"/>
      <c r="T35" s="89"/>
      <c r="U35" s="89"/>
      <c r="V35" s="17"/>
      <c r="W35" s="17"/>
      <c r="X35" s="17"/>
      <c r="Y35" s="17"/>
      <c r="Z35" s="17"/>
      <c r="AA35" s="17"/>
      <c r="AB35" s="17"/>
      <c r="AC35" s="17"/>
      <c r="AD35" s="90"/>
      <c r="AP35" s="4"/>
      <c r="AQ35" s="54"/>
      <c r="AR35" s="44"/>
      <c r="AS35" s="32"/>
      <c r="AT35" s="4"/>
      <c r="AU35" s="4"/>
      <c r="AV35" s="4"/>
      <c r="AW35" s="55"/>
      <c r="AX35" s="56"/>
      <c r="AY35" s="34"/>
      <c r="AZ35" s="34"/>
      <c r="BA35" s="34"/>
      <c r="BB35" s="34"/>
      <c r="BC35" s="34"/>
      <c r="BD35" s="34"/>
      <c r="BE35" s="34"/>
      <c r="BF35" s="34"/>
      <c r="BG35" s="34"/>
      <c r="BH35" s="34"/>
      <c r="BI35" s="4"/>
      <c r="BJ35" s="4"/>
      <c r="BK35" s="4"/>
      <c r="BL35" s="17"/>
      <c r="BM35" s="17"/>
      <c r="BN35" s="17"/>
      <c r="BO35" s="17"/>
      <c r="BP35" s="17"/>
      <c r="BQ35" s="17"/>
      <c r="BR35" s="17"/>
      <c r="BS35" s="66"/>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row>
    <row r="36" spans="1:151" ht="18.75" hidden="1" thickBot="1" x14ac:dyDescent="0.25">
      <c r="A36" s="165">
        <f t="shared" si="1"/>
        <v>0</v>
      </c>
      <c r="B36" s="194" t="s">
        <v>60</v>
      </c>
      <c r="C36" s="193"/>
      <c r="D36" s="160"/>
      <c r="E36" s="160"/>
      <c r="F36" s="160"/>
      <c r="G36" s="264"/>
      <c r="H36" s="264"/>
      <c r="I36" s="280">
        <v>2</v>
      </c>
      <c r="J36" s="281">
        <f>K38/5</f>
        <v>2.0308112026405073E-4</v>
      </c>
      <c r="K36" s="282"/>
      <c r="L36" s="282"/>
      <c r="M36" s="264"/>
      <c r="N36" s="282"/>
      <c r="O36" s="264"/>
      <c r="P36" s="264"/>
      <c r="Q36" s="160"/>
      <c r="R36" s="63"/>
      <c r="S36" s="87"/>
      <c r="T36" s="87"/>
      <c r="U36" s="127">
        <v>13</v>
      </c>
      <c r="V36" s="128">
        <v>3.9</v>
      </c>
      <c r="W36" s="17"/>
      <c r="X36" s="17"/>
      <c r="Y36" s="17"/>
      <c r="Z36" s="17"/>
      <c r="AA36" s="17"/>
      <c r="AB36" s="17"/>
      <c r="AC36" s="17"/>
      <c r="AD36" s="88"/>
      <c r="AF36" s="130">
        <f>$AR$5</f>
        <v>1</v>
      </c>
      <c r="AG36" s="92">
        <f>AF36*1.05</f>
        <v>1.05</v>
      </c>
      <c r="AH36" s="93">
        <v>1.8</v>
      </c>
      <c r="AI36" s="70">
        <f>E12</f>
        <v>0.1</v>
      </c>
      <c r="AJ36" s="70">
        <f>AI36/AH36</f>
        <v>5.5555555555555559E-2</v>
      </c>
      <c r="AK36" s="70">
        <f>AI36-AJ36</f>
        <v>4.4444444444444446E-2</v>
      </c>
      <c r="AP36" s="4"/>
      <c r="AQ36" s="54"/>
      <c r="AR36" s="44"/>
      <c r="AS36" s="32"/>
      <c r="AT36" s="4"/>
      <c r="AU36" s="4"/>
      <c r="AV36" s="4"/>
      <c r="AW36" s="55"/>
      <c r="AX36" s="56"/>
      <c r="AY36" s="34"/>
      <c r="AZ36" s="34"/>
      <c r="BA36" s="34"/>
      <c r="BB36" s="34"/>
      <c r="BC36" s="34"/>
      <c r="BD36" s="34"/>
      <c r="BE36" s="34"/>
      <c r="BF36" s="34"/>
      <c r="BG36" s="34"/>
      <c r="BH36" s="34"/>
      <c r="BI36" s="4"/>
      <c r="BJ36" s="4"/>
      <c r="BK36" s="4"/>
      <c r="BL36" s="17"/>
      <c r="BM36" s="17"/>
      <c r="BN36" s="17"/>
      <c r="BO36" s="17"/>
      <c r="BP36" s="17"/>
      <c r="BQ36" s="17"/>
      <c r="BR36" s="17"/>
      <c r="BS36" s="66"/>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row>
    <row r="37" spans="1:151" ht="5.25" hidden="1" customHeight="1" x14ac:dyDescent="0.2">
      <c r="A37" s="165">
        <f t="shared" si="1"/>
        <v>0</v>
      </c>
      <c r="B37" s="194"/>
      <c r="C37" s="193"/>
      <c r="D37" s="160"/>
      <c r="E37" s="160"/>
      <c r="F37" s="168"/>
      <c r="G37" s="264"/>
      <c r="H37" s="264"/>
      <c r="I37" s="280"/>
      <c r="J37" s="281"/>
      <c r="K37" s="282"/>
      <c r="L37" s="282"/>
      <c r="M37" s="264"/>
      <c r="N37" s="282"/>
      <c r="O37" s="264"/>
      <c r="P37" s="264"/>
      <c r="Q37" s="160"/>
      <c r="R37" s="63"/>
      <c r="S37" s="89"/>
      <c r="T37" s="89"/>
      <c r="U37" s="89"/>
      <c r="V37" s="17"/>
      <c r="W37" s="17"/>
      <c r="X37" s="17"/>
      <c r="Y37" s="17"/>
      <c r="Z37" s="17"/>
      <c r="AA37" s="17"/>
      <c r="AB37" s="17"/>
      <c r="AC37" s="17"/>
      <c r="AD37" s="90"/>
      <c r="AP37" s="4"/>
      <c r="AQ37" s="54"/>
      <c r="AR37" s="44"/>
      <c r="AS37" s="32"/>
      <c r="AT37" s="4"/>
      <c r="AU37" s="4"/>
      <c r="AV37" s="4"/>
      <c r="AW37" s="55"/>
      <c r="AX37" s="56"/>
      <c r="AY37" s="34"/>
      <c r="AZ37" s="34"/>
      <c r="BA37" s="34"/>
      <c r="BB37" s="34"/>
      <c r="BC37" s="34"/>
      <c r="BD37" s="34"/>
      <c r="BE37" s="34"/>
      <c r="BF37" s="34"/>
      <c r="BG37" s="34"/>
      <c r="BH37" s="34"/>
      <c r="BI37" s="4"/>
      <c r="BJ37" s="4"/>
      <c r="BK37" s="4"/>
      <c r="BL37" s="17"/>
      <c r="BM37" s="17"/>
      <c r="BN37" s="17"/>
      <c r="BO37" s="17"/>
      <c r="BP37" s="17"/>
      <c r="BQ37" s="17"/>
      <c r="BR37" s="17"/>
      <c r="BS37" s="66"/>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row>
    <row r="38" spans="1:151" ht="17.25" hidden="1" customHeight="1" thickBot="1" x14ac:dyDescent="0.25">
      <c r="A38" s="165">
        <f t="shared" si="1"/>
        <v>0</v>
      </c>
      <c r="B38" s="194" t="s">
        <v>61</v>
      </c>
      <c r="C38" s="160"/>
      <c r="D38" s="160"/>
      <c r="E38" s="48"/>
      <c r="F38" s="72"/>
      <c r="G38" s="276">
        <f>IF(F38=E40,0.9999,IF(E40&lt;F38,(E40+1-F38),(E40-F38)))</f>
        <v>0.99990000000000001</v>
      </c>
      <c r="H38" s="264"/>
      <c r="I38" s="280">
        <f>BA1*2</f>
        <v>2</v>
      </c>
      <c r="J38" s="261">
        <f>Y38+Z38</f>
        <v>2.0308112026405072E-3</v>
      </c>
      <c r="K38" s="283">
        <f>Y38</f>
        <v>1.0154056013202536E-3</v>
      </c>
      <c r="L38" s="283">
        <f>Z38</f>
        <v>1.0154056013202536E-3</v>
      </c>
      <c r="M38" s="264"/>
      <c r="N38" s="284">
        <f>IF(G38&lt;0.229,26,24)</f>
        <v>24</v>
      </c>
      <c r="O38" s="355" t="s">
        <v>28</v>
      </c>
      <c r="P38" s="355"/>
      <c r="Q38" s="178"/>
      <c r="R38" s="73"/>
      <c r="S38" s="87"/>
      <c r="T38" s="87"/>
      <c r="U38" s="87"/>
      <c r="V38" s="17"/>
      <c r="W38" s="17"/>
      <c r="X38" s="71">
        <f>IF(G38&lt;0.125,(G38*23),IF(G38&lt;0.209,(G38*25),IF(G38&lt;0.288,(G38*28),IF(G38&lt;0.375,(G38*30),(G38*33)))))</f>
        <v>32.996699999999997</v>
      </c>
      <c r="Y38" s="129">
        <f>Y40/X40</f>
        <v>1.0154056013202536E-3</v>
      </c>
      <c r="Z38" s="71">
        <f>Y38*(I38-100%)</f>
        <v>1.0154056013202536E-3</v>
      </c>
      <c r="AA38" s="129">
        <f>J36</f>
        <v>2.0308112026405073E-4</v>
      </c>
      <c r="AB38" s="17"/>
      <c r="AC38" s="17"/>
      <c r="AD38" s="88"/>
      <c r="AP38" s="4"/>
      <c r="AQ38" s="54"/>
      <c r="AR38" s="44"/>
      <c r="AS38" s="32"/>
      <c r="AT38" s="4"/>
      <c r="AU38" s="4"/>
      <c r="AV38" s="4"/>
      <c r="AW38" s="55"/>
      <c r="AX38" s="56"/>
      <c r="AY38" s="34"/>
      <c r="AZ38" s="34"/>
      <c r="BA38" s="34"/>
      <c r="BB38" s="34"/>
      <c r="BC38" s="34"/>
      <c r="BD38" s="34"/>
      <c r="BE38" s="34"/>
      <c r="BF38" s="34"/>
      <c r="BG38" s="34"/>
      <c r="BH38" s="34"/>
      <c r="BI38" s="4"/>
      <c r="BJ38" s="4"/>
      <c r="BK38" s="4"/>
      <c r="BL38" s="17"/>
      <c r="BM38" s="17"/>
      <c r="BN38" s="17"/>
      <c r="BO38" s="17"/>
      <c r="BP38" s="17"/>
      <c r="BQ38" s="17"/>
      <c r="BR38" s="17"/>
      <c r="BS38" s="66"/>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row>
    <row r="39" spans="1:151" ht="5.25" hidden="1" customHeight="1" x14ac:dyDescent="0.2">
      <c r="A39" s="165">
        <f t="shared" si="1"/>
        <v>0</v>
      </c>
      <c r="B39" s="194"/>
      <c r="C39" s="160"/>
      <c r="D39" s="160"/>
      <c r="E39" s="168"/>
      <c r="F39" s="195"/>
      <c r="G39" s="279"/>
      <c r="H39" s="264"/>
      <c r="I39" s="280"/>
      <c r="J39" s="261"/>
      <c r="K39" s="283"/>
      <c r="L39" s="283"/>
      <c r="M39" s="264"/>
      <c r="N39" s="284"/>
      <c r="O39" s="275"/>
      <c r="P39" s="275"/>
      <c r="Q39" s="181"/>
      <c r="R39" s="73"/>
      <c r="S39" s="89"/>
      <c r="T39" s="89"/>
      <c r="U39" s="89"/>
      <c r="V39" s="17"/>
      <c r="W39" s="89"/>
      <c r="X39" s="71"/>
      <c r="Y39" s="129"/>
      <c r="Z39" s="71"/>
      <c r="AA39" s="129"/>
      <c r="AB39" s="17"/>
      <c r="AC39" s="17"/>
      <c r="AD39" s="90"/>
      <c r="AP39" s="4"/>
      <c r="AQ39" s="54"/>
      <c r="AR39" s="44"/>
      <c r="AS39" s="32"/>
      <c r="AT39" s="4"/>
      <c r="AU39" s="4"/>
      <c r="AV39" s="4"/>
      <c r="AW39" s="55"/>
      <c r="AX39" s="56"/>
      <c r="AY39" s="34"/>
      <c r="AZ39" s="34"/>
      <c r="BA39" s="34"/>
      <c r="BB39" s="34"/>
      <c r="BC39" s="34"/>
      <c r="BD39" s="34"/>
      <c r="BE39" s="34"/>
      <c r="BF39" s="34"/>
      <c r="BG39" s="34"/>
      <c r="BH39" s="34"/>
      <c r="BI39" s="4"/>
      <c r="BJ39" s="4"/>
      <c r="BK39" s="4"/>
      <c r="BL39" s="17"/>
      <c r="BM39" s="17"/>
      <c r="BN39" s="17"/>
      <c r="BO39" s="17"/>
      <c r="BP39" s="17"/>
      <c r="BQ39" s="17"/>
      <c r="BR39" s="17"/>
      <c r="BS39" s="66"/>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row>
    <row r="40" spans="1:151" ht="17.25" hidden="1" customHeight="1" thickBot="1" x14ac:dyDescent="0.25">
      <c r="A40" s="165">
        <f t="shared" si="1"/>
        <v>0</v>
      </c>
      <c r="B40" s="194" t="s">
        <v>62</v>
      </c>
      <c r="C40" s="193"/>
      <c r="D40" s="160"/>
      <c r="E40" s="79"/>
      <c r="F40" s="271">
        <f>E40</f>
        <v>0</v>
      </c>
      <c r="G40" s="276">
        <f>IF(E40=E42,0.9999,IF(E42&lt;E40,(E42+1-E40),(E42-E40)))</f>
        <v>0.99990000000000001</v>
      </c>
      <c r="H40" s="264"/>
      <c r="I40" s="280">
        <f>BA1*1.6</f>
        <v>1.6</v>
      </c>
      <c r="J40" s="261">
        <f>Y40+Z40</f>
        <v>5.3608054408134424E-2</v>
      </c>
      <c r="K40" s="283">
        <f>Y40-Y38</f>
        <v>3.2489628403763758E-2</v>
      </c>
      <c r="L40" s="283">
        <f>Z40-Z38</f>
        <v>1.9087614801730157E-2</v>
      </c>
      <c r="M40" s="264"/>
      <c r="N40" s="284">
        <f>IF(G40&lt;0.28,24,23)</f>
        <v>23</v>
      </c>
      <c r="O40" s="361" t="s">
        <v>23</v>
      </c>
      <c r="P40" s="361"/>
      <c r="Q40" s="181"/>
      <c r="R40" s="73"/>
      <c r="S40" s="89"/>
      <c r="T40" s="89"/>
      <c r="U40" s="89"/>
      <c r="V40" s="17"/>
      <c r="W40" s="89"/>
      <c r="X40" s="71">
        <f>IF(G40&lt;0.125,(G40*23),IF(G40&lt;0.209,(G40*27),IF(G40&lt;0.288,(G40*29),IF(G40&lt;0.375,(G40*31),(G40*33)))))</f>
        <v>32.996699999999997</v>
      </c>
      <c r="Y40" s="129">
        <f>Y42/X42</f>
        <v>3.3505034005084013E-2</v>
      </c>
      <c r="Z40" s="71">
        <f>Y40*(I40-100%)</f>
        <v>2.0103020403050412E-2</v>
      </c>
      <c r="AA40" s="129">
        <f>J38</f>
        <v>2.0308112026405072E-3</v>
      </c>
      <c r="AB40" s="17"/>
      <c r="AC40" s="17"/>
      <c r="AD40" s="90"/>
      <c r="AP40" s="4"/>
      <c r="AQ40" s="54"/>
      <c r="AR40" s="44"/>
      <c r="AS40" s="32"/>
      <c r="AT40" s="4"/>
      <c r="AU40" s="4"/>
      <c r="AV40" s="4"/>
      <c r="AW40" s="55"/>
      <c r="AX40" s="56"/>
      <c r="AY40" s="34"/>
      <c r="AZ40" s="34"/>
      <c r="BA40" s="34"/>
      <c r="BB40" s="34"/>
      <c r="BC40" s="34"/>
      <c r="BD40" s="34"/>
      <c r="BE40" s="34"/>
      <c r="BF40" s="34"/>
      <c r="BG40" s="34"/>
      <c r="BH40" s="34"/>
      <c r="BI40" s="4"/>
      <c r="BJ40" s="4"/>
      <c r="BK40" s="4"/>
      <c r="BL40" s="17"/>
      <c r="BM40" s="17"/>
      <c r="BN40" s="17"/>
      <c r="BO40" s="17"/>
      <c r="BP40" s="17"/>
      <c r="BQ40" s="17"/>
      <c r="BR40" s="17"/>
      <c r="BS40" s="66"/>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row>
    <row r="41" spans="1:151" ht="5.25" hidden="1" customHeight="1" x14ac:dyDescent="0.2">
      <c r="A41" s="165">
        <f t="shared" si="1"/>
        <v>0</v>
      </c>
      <c r="B41" s="194"/>
      <c r="C41" s="193"/>
      <c r="D41" s="160"/>
      <c r="E41" s="80"/>
      <c r="F41" s="264"/>
      <c r="G41" s="279"/>
      <c r="H41" s="264"/>
      <c r="I41" s="280"/>
      <c r="J41" s="261"/>
      <c r="K41" s="283"/>
      <c r="L41" s="283"/>
      <c r="M41" s="264"/>
      <c r="N41" s="284"/>
      <c r="O41" s="275"/>
      <c r="P41" s="275"/>
      <c r="Q41" s="181"/>
      <c r="R41" s="73"/>
      <c r="S41" s="17"/>
      <c r="T41" s="89"/>
      <c r="U41" s="17"/>
      <c r="V41" s="17"/>
      <c r="W41" s="17"/>
      <c r="X41" s="71"/>
      <c r="Y41" s="129"/>
      <c r="Z41" s="71"/>
      <c r="AA41" s="129"/>
      <c r="AB41" s="17"/>
      <c r="AC41" s="17"/>
      <c r="AD41" s="17"/>
      <c r="AP41" s="4"/>
      <c r="AQ41" s="54"/>
      <c r="AR41" s="44"/>
      <c r="AS41" s="32"/>
      <c r="AT41" s="4"/>
      <c r="AU41" s="4"/>
      <c r="AV41" s="4"/>
      <c r="AW41" s="55"/>
      <c r="AX41" s="56"/>
      <c r="AY41" s="34"/>
      <c r="AZ41" s="34"/>
      <c r="BA41" s="34"/>
      <c r="BB41" s="34"/>
      <c r="BC41" s="34"/>
      <c r="BD41" s="34"/>
      <c r="BE41" s="34"/>
      <c r="BF41" s="34"/>
      <c r="BG41" s="34"/>
      <c r="BH41" s="34"/>
      <c r="BI41" s="4"/>
      <c r="BJ41" s="4"/>
      <c r="BK41" s="4"/>
      <c r="BL41" s="17"/>
      <c r="BM41" s="17"/>
      <c r="BN41" s="17"/>
      <c r="BO41" s="17"/>
      <c r="BP41" s="17"/>
      <c r="BQ41" s="17"/>
      <c r="BR41" s="17"/>
      <c r="BS41" s="66"/>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row>
    <row r="42" spans="1:151" ht="17.25" hidden="1" customHeight="1" thickBot="1" x14ac:dyDescent="0.25">
      <c r="A42" s="165">
        <f t="shared" si="1"/>
        <v>0</v>
      </c>
      <c r="B42" s="194" t="s">
        <v>63</v>
      </c>
      <c r="C42" s="193"/>
      <c r="D42" s="160"/>
      <c r="E42" s="72"/>
      <c r="F42" s="279">
        <f>E42</f>
        <v>0</v>
      </c>
      <c r="G42" s="276">
        <f>IF(E42=E44,0.9999,IF(E44&lt;E42,(E44+1-E42),(E44-E42)))</f>
        <v>0.99990000000000001</v>
      </c>
      <c r="H42" s="264"/>
      <c r="I42" s="280">
        <f>BA1*AH36</f>
        <v>1.8</v>
      </c>
      <c r="J42" s="261">
        <f>Y42+Z42</f>
        <v>1.9900000000000002</v>
      </c>
      <c r="K42" s="283">
        <f>Y42-Y40-M42</f>
        <v>1.0720505215504716</v>
      </c>
      <c r="L42" s="283">
        <f>Z42-Z40</f>
        <v>0.86434142404139414</v>
      </c>
      <c r="M42" s="277">
        <f>$AU$6</f>
        <v>0</v>
      </c>
      <c r="N42" s="284">
        <f>IF(G42&lt;0.37,29,28)</f>
        <v>28</v>
      </c>
      <c r="O42" s="355" t="s">
        <v>24</v>
      </c>
      <c r="P42" s="355"/>
      <c r="Q42" s="178"/>
      <c r="R42" s="73"/>
      <c r="S42" s="17"/>
      <c r="T42" s="89"/>
      <c r="U42" s="17"/>
      <c r="V42" s="17"/>
      <c r="W42" s="17"/>
      <c r="X42" s="71">
        <f>IF(G42&lt;0.125,(G42*23),IF(G42&lt;0.209,(G42*25),IF(G42&lt;0.288,(G42*29),IF(G42&lt;0.375,(G42*31),(G42*33)))))</f>
        <v>32.996699999999997</v>
      </c>
      <c r="Y42" s="133">
        <f>SUM(AG36,AJ36)</f>
        <v>1.1055555555555556</v>
      </c>
      <c r="Z42" s="71">
        <f>Y42*(I42-100%)</f>
        <v>0.88444444444444459</v>
      </c>
      <c r="AA42" s="129">
        <f>J40</f>
        <v>5.3608054408134424E-2</v>
      </c>
      <c r="AB42" s="17"/>
      <c r="AC42" s="17"/>
      <c r="AD42" s="17"/>
      <c r="AP42" s="4"/>
      <c r="AQ42" s="54"/>
      <c r="AR42" s="44"/>
      <c r="AS42" s="32"/>
      <c r="AT42" s="4"/>
      <c r="AU42" s="4"/>
      <c r="AV42" s="4"/>
      <c r="AW42" s="55"/>
      <c r="AX42" s="56"/>
      <c r="AY42" s="34"/>
      <c r="AZ42" s="34"/>
      <c r="BA42" s="34"/>
      <c r="BB42" s="34"/>
      <c r="BC42" s="34"/>
      <c r="BD42" s="34"/>
      <c r="BE42" s="34"/>
      <c r="BF42" s="34"/>
      <c r="BG42" s="34"/>
      <c r="BH42" s="34"/>
      <c r="BI42" s="4"/>
      <c r="BJ42" s="4"/>
      <c r="BK42" s="4"/>
      <c r="BL42" s="17"/>
      <c r="BM42" s="17"/>
      <c r="BN42" s="17"/>
      <c r="BO42" s="17"/>
      <c r="BP42" s="17"/>
      <c r="BQ42" s="17"/>
      <c r="BR42" s="17"/>
      <c r="BS42" s="66"/>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row>
    <row r="43" spans="1:151" ht="5.25" hidden="1" customHeight="1" x14ac:dyDescent="0.2">
      <c r="A43" s="165">
        <f t="shared" si="1"/>
        <v>0</v>
      </c>
      <c r="B43" s="164"/>
      <c r="C43" s="174"/>
      <c r="D43" s="176"/>
      <c r="E43" s="80"/>
      <c r="F43" s="264"/>
      <c r="G43" s="285"/>
      <c r="H43" s="267"/>
      <c r="I43" s="267"/>
      <c r="J43" s="267"/>
      <c r="K43" s="267"/>
      <c r="L43" s="267"/>
      <c r="M43" s="264"/>
      <c r="N43" s="267"/>
      <c r="O43" s="264"/>
      <c r="P43" s="264"/>
      <c r="Q43" s="160"/>
      <c r="R43" s="63"/>
      <c r="S43" s="17"/>
      <c r="T43" s="17"/>
      <c r="U43" s="17"/>
      <c r="V43" s="17"/>
      <c r="W43" s="17"/>
      <c r="X43" s="17"/>
      <c r="Y43" s="17"/>
      <c r="Z43" s="17"/>
      <c r="AA43" s="17"/>
      <c r="AB43" s="17"/>
      <c r="AC43" s="17"/>
      <c r="AD43" s="17"/>
      <c r="AP43" s="4"/>
      <c r="AQ43" s="54"/>
      <c r="AR43" s="44"/>
      <c r="AS43" s="32"/>
      <c r="AT43" s="4"/>
      <c r="AU43" s="4"/>
      <c r="AV43" s="4"/>
      <c r="AW43" s="55"/>
      <c r="AX43" s="56"/>
      <c r="AY43" s="34"/>
      <c r="AZ43" s="34"/>
      <c r="BA43" s="34"/>
      <c r="BB43" s="34"/>
      <c r="BC43" s="34"/>
      <c r="BD43" s="34"/>
      <c r="BE43" s="34"/>
      <c r="BF43" s="34"/>
      <c r="BG43" s="34"/>
      <c r="BH43" s="34"/>
      <c r="BI43" s="4"/>
      <c r="BJ43" s="4"/>
      <c r="BK43" s="4"/>
      <c r="BL43" s="17"/>
      <c r="BM43" s="17"/>
      <c r="BN43" s="17"/>
      <c r="BO43" s="17"/>
      <c r="BP43" s="17"/>
      <c r="BQ43" s="17"/>
      <c r="BR43" s="17"/>
      <c r="BS43" s="66"/>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row>
    <row r="44" spans="1:151" ht="17.25" hidden="1" customHeight="1" thickBot="1" x14ac:dyDescent="0.25">
      <c r="A44" s="165">
        <f t="shared" si="1"/>
        <v>0</v>
      </c>
      <c r="B44" s="164" t="s">
        <v>95</v>
      </c>
      <c r="C44" s="174"/>
      <c r="D44" s="176"/>
      <c r="E44" s="72"/>
      <c r="F44" s="264"/>
      <c r="G44" s="272"/>
      <c r="H44" s="267"/>
      <c r="I44" s="267"/>
      <c r="J44" s="267"/>
      <c r="K44" s="267"/>
      <c r="L44" s="267"/>
      <c r="M44" s="264"/>
      <c r="N44" s="267"/>
      <c r="O44" s="264"/>
      <c r="P44" s="264"/>
      <c r="Q44" s="160"/>
      <c r="R44" s="63"/>
      <c r="S44" s="17"/>
      <c r="T44" s="82">
        <f>IF(U44&lt;&gt;"",U44,0)</f>
        <v>0</v>
      </c>
      <c r="U44" s="83" t="str">
        <f>IF(A36&lt;&gt;1,"",IF(K42&lt;0,101%,M42/SUM(M42,K42)))</f>
        <v/>
      </c>
      <c r="V44" s="17"/>
      <c r="W44" s="17"/>
      <c r="X44" s="17"/>
      <c r="Y44" s="17"/>
      <c r="Z44" s="17"/>
      <c r="AA44" s="17"/>
      <c r="AB44" s="17"/>
      <c r="AC44" s="17"/>
      <c r="AD44" s="17"/>
      <c r="AP44" s="4"/>
      <c r="AQ44" s="54"/>
      <c r="AR44" s="44"/>
      <c r="AS44" s="32"/>
      <c r="AT44" s="4"/>
      <c r="AU44" s="4"/>
      <c r="AV44" s="4"/>
      <c r="AW44" s="55"/>
      <c r="AX44" s="56"/>
      <c r="AY44" s="34"/>
      <c r="AZ44" s="34"/>
      <c r="BA44" s="34"/>
      <c r="BB44" s="34"/>
      <c r="BC44" s="34"/>
      <c r="BD44" s="34"/>
      <c r="BE44" s="34"/>
      <c r="BF44" s="34"/>
      <c r="BG44" s="34"/>
      <c r="BH44" s="34"/>
      <c r="BI44" s="4"/>
      <c r="BJ44" s="4"/>
      <c r="BK44" s="4"/>
      <c r="BL44" s="17"/>
      <c r="BM44" s="17"/>
      <c r="BN44" s="17"/>
      <c r="BO44" s="17"/>
      <c r="BP44" s="17"/>
      <c r="BQ44" s="17"/>
      <c r="BR44" s="17"/>
      <c r="BS44" s="66"/>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row>
    <row r="45" spans="1:151" ht="6.75" hidden="1" customHeight="1" x14ac:dyDescent="0.2">
      <c r="A45" s="165">
        <f t="shared" si="1"/>
        <v>0</v>
      </c>
      <c r="B45" s="160"/>
      <c r="C45" s="176"/>
      <c r="D45" s="176"/>
      <c r="E45" s="176"/>
      <c r="F45" s="176"/>
      <c r="G45" s="166"/>
      <c r="H45" s="176"/>
      <c r="I45" s="176"/>
      <c r="J45" s="176"/>
      <c r="K45" s="176"/>
      <c r="L45" s="176"/>
      <c r="M45" s="160"/>
      <c r="N45" s="176"/>
      <c r="O45" s="160"/>
      <c r="P45" s="160"/>
      <c r="Q45" s="160"/>
      <c r="R45" s="63"/>
      <c r="S45" s="17"/>
      <c r="T45" s="17"/>
      <c r="U45" s="17"/>
      <c r="V45" s="17"/>
      <c r="W45" s="17"/>
      <c r="X45" s="17"/>
      <c r="Y45" s="17"/>
      <c r="Z45" s="17"/>
      <c r="AA45" s="17"/>
      <c r="AB45" s="17"/>
      <c r="AC45" s="17"/>
      <c r="AD45" s="17"/>
      <c r="AP45" s="4"/>
      <c r="AQ45" s="54"/>
      <c r="AR45" s="44"/>
      <c r="AS45" s="32"/>
      <c r="AT45" s="4"/>
      <c r="AU45" s="4"/>
      <c r="AV45" s="4"/>
      <c r="AW45" s="55"/>
      <c r="AX45" s="56"/>
      <c r="AY45" s="34"/>
      <c r="AZ45" s="34"/>
      <c r="BA45" s="34"/>
      <c r="BB45" s="34"/>
      <c r="BC45" s="34"/>
      <c r="BD45" s="34"/>
      <c r="BE45" s="34"/>
      <c r="BF45" s="34"/>
      <c r="BG45" s="34"/>
      <c r="BH45" s="34"/>
      <c r="BI45" s="4"/>
      <c r="BJ45" s="4"/>
      <c r="BK45" s="4"/>
      <c r="BL45" s="17"/>
      <c r="BM45" s="17"/>
      <c r="BN45" s="17"/>
      <c r="BO45" s="17"/>
      <c r="BP45" s="17"/>
      <c r="BQ45" s="17"/>
      <c r="BR45" s="17"/>
      <c r="BS45" s="66"/>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row>
    <row r="46" spans="1:151" ht="18" hidden="1" x14ac:dyDescent="0.2">
      <c r="A46" s="165">
        <f t="shared" si="1"/>
        <v>0</v>
      </c>
      <c r="B46" s="84"/>
      <c r="C46" s="160"/>
      <c r="D46" s="160"/>
      <c r="E46" s="286" t="str">
        <f>IF(SUM(F38,E40,E42,E44)=0,"ZEITEN EINGEBEN",IF(OR(OR(G38&lt;0.208333,G38&gt;0.334),OR(G40&lt;0.23,G40&gt;0.2708),OR(G42&lt;0.3331,G42&gt;0.416667)),"ZEITEINGABEN KORRIGIEREN",""))</f>
        <v>ZEITEN EINGEBEN</v>
      </c>
      <c r="F46" s="196"/>
      <c r="G46" s="196"/>
      <c r="H46" s="160"/>
      <c r="I46" s="176"/>
      <c r="J46" s="160"/>
      <c r="K46" s="160"/>
      <c r="L46" s="160"/>
      <c r="M46" s="160"/>
      <c r="N46" s="176"/>
      <c r="O46" s="160"/>
      <c r="P46" s="160"/>
      <c r="Q46" s="160"/>
      <c r="R46" s="63"/>
      <c r="S46" s="17"/>
      <c r="T46" s="17"/>
      <c r="U46" s="17"/>
      <c r="V46" s="17"/>
      <c r="W46" s="17"/>
      <c r="X46" s="17"/>
      <c r="Y46" s="17"/>
      <c r="Z46" s="17"/>
      <c r="AA46" s="17"/>
      <c r="AB46" s="17"/>
      <c r="AC46" s="17"/>
      <c r="AD46" s="17"/>
      <c r="AP46" s="4"/>
      <c r="AQ46" s="54"/>
      <c r="AR46" s="44"/>
      <c r="AS46" s="32"/>
      <c r="AT46" s="4"/>
      <c r="AU46" s="4"/>
      <c r="AV46" s="4"/>
      <c r="AW46" s="55"/>
      <c r="AX46" s="56"/>
      <c r="AY46" s="34"/>
      <c r="AZ46" s="34"/>
      <c r="BA46" s="34"/>
      <c r="BB46" s="34"/>
      <c r="BC46" s="34"/>
      <c r="BD46" s="34"/>
      <c r="BE46" s="34"/>
      <c r="BF46" s="34"/>
      <c r="BG46" s="34"/>
      <c r="BH46" s="34"/>
      <c r="BI46" s="4"/>
      <c r="BJ46" s="4"/>
      <c r="BK46" s="4"/>
      <c r="BL46" s="17"/>
      <c r="BM46" s="17"/>
      <c r="BN46" s="17"/>
      <c r="BO46" s="17"/>
      <c r="BP46" s="17"/>
      <c r="BQ46" s="17"/>
      <c r="BR46" s="17"/>
      <c r="BS46" s="66"/>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row>
    <row r="47" spans="1:151" ht="18" hidden="1" x14ac:dyDescent="0.2">
      <c r="A47" s="165">
        <f t="shared" si="1"/>
        <v>0</v>
      </c>
      <c r="B47" s="84"/>
      <c r="C47" s="190"/>
      <c r="D47" s="160"/>
      <c r="E47" s="160"/>
      <c r="F47" s="160"/>
      <c r="G47" s="160"/>
      <c r="H47" s="150"/>
      <c r="I47" s="188"/>
      <c r="J47" s="188"/>
      <c r="K47" s="150"/>
      <c r="L47" s="188"/>
      <c r="M47" s="191"/>
      <c r="N47" s="176"/>
      <c r="O47" s="160"/>
      <c r="P47" s="160"/>
      <c r="Q47" s="160"/>
      <c r="R47" s="63"/>
      <c r="S47" s="17"/>
      <c r="T47" s="17"/>
      <c r="U47" s="17"/>
      <c r="V47" s="17"/>
      <c r="W47" s="17"/>
      <c r="X47" s="65"/>
      <c r="Y47" s="65"/>
      <c r="Z47" s="65"/>
      <c r="AA47" s="65"/>
      <c r="AB47" s="17"/>
      <c r="AC47" s="17"/>
      <c r="AD47" s="17"/>
      <c r="AP47" s="4"/>
      <c r="AQ47" s="54"/>
      <c r="AR47" s="44"/>
      <c r="AS47" s="32"/>
      <c r="AT47" s="4"/>
      <c r="AU47" s="4"/>
      <c r="AV47" s="4"/>
      <c r="AW47" s="55"/>
      <c r="AX47" s="56"/>
      <c r="AY47" s="34"/>
      <c r="AZ47" s="34"/>
      <c r="BA47" s="34"/>
      <c r="BB47" s="34"/>
      <c r="BC47" s="34"/>
      <c r="BD47" s="34"/>
      <c r="BE47" s="34"/>
      <c r="BF47" s="34"/>
      <c r="BG47" s="34"/>
      <c r="BH47" s="34"/>
      <c r="BI47" s="4"/>
      <c r="BJ47" s="4"/>
      <c r="BK47" s="4"/>
      <c r="BL47" s="17"/>
      <c r="BM47" s="17"/>
      <c r="BN47" s="17"/>
      <c r="BO47" s="17"/>
      <c r="BP47" s="17"/>
      <c r="BQ47" s="17"/>
      <c r="BR47" s="17"/>
      <c r="BS47" s="66"/>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row>
    <row r="48" spans="1:151" ht="18" hidden="1" x14ac:dyDescent="0.2">
      <c r="A48" s="62">
        <f t="shared" si="1"/>
        <v>0</v>
      </c>
      <c r="B48" s="48"/>
      <c r="C48" s="190"/>
      <c r="D48" s="191"/>
      <c r="E48" s="191"/>
      <c r="F48" s="150"/>
      <c r="G48" s="191"/>
      <c r="H48" s="190"/>
      <c r="I48" s="191"/>
      <c r="J48" s="189"/>
      <c r="K48" s="190"/>
      <c r="L48" s="191"/>
      <c r="M48" s="191"/>
      <c r="N48" s="176"/>
      <c r="O48" s="198"/>
      <c r="P48" s="160"/>
      <c r="Q48" s="160"/>
      <c r="R48" s="63"/>
      <c r="S48" s="17"/>
      <c r="T48" s="17"/>
      <c r="U48" s="17"/>
      <c r="V48" s="17"/>
      <c r="W48" s="17"/>
      <c r="X48" s="65"/>
      <c r="Y48" s="75"/>
      <c r="Z48" s="65"/>
      <c r="AA48" s="65"/>
      <c r="AB48" s="17"/>
      <c r="AC48" s="17"/>
      <c r="AD48" s="17"/>
      <c r="AP48" s="4"/>
      <c r="AQ48" s="54"/>
      <c r="AR48" s="44"/>
      <c r="AS48" s="32"/>
      <c r="AT48" s="4"/>
      <c r="AU48" s="4"/>
      <c r="AV48" s="4"/>
      <c r="AW48" s="55"/>
      <c r="AX48" s="56"/>
      <c r="AY48" s="34"/>
      <c r="AZ48" s="34"/>
      <c r="BA48" s="34"/>
      <c r="BB48" s="34"/>
      <c r="BC48" s="34"/>
      <c r="BD48" s="34"/>
      <c r="BE48" s="34"/>
      <c r="BF48" s="34"/>
      <c r="BG48" s="34"/>
      <c r="BH48" s="34"/>
      <c r="BI48" s="4"/>
      <c r="BJ48" s="4"/>
      <c r="BK48" s="4"/>
      <c r="BL48" s="17"/>
      <c r="BM48" s="17"/>
      <c r="BN48" s="17"/>
      <c r="BO48" s="17"/>
      <c r="BP48" s="17"/>
      <c r="BQ48" s="17"/>
      <c r="BR48" s="17"/>
      <c r="BS48" s="66"/>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row>
    <row r="49" spans="1:151" ht="18" hidden="1" x14ac:dyDescent="0.2">
      <c r="A49" s="94">
        <f t="shared" ref="A49:A64" si="2">IF(SAUERKÜRZEL=$B$49,1,0)</f>
        <v>0</v>
      </c>
      <c r="B49" s="357" t="s">
        <v>12</v>
      </c>
      <c r="C49" s="144"/>
      <c r="D49" s="144"/>
      <c r="E49" s="259" t="s">
        <v>33</v>
      </c>
      <c r="F49" s="169"/>
      <c r="G49" s="144"/>
      <c r="H49" s="144"/>
      <c r="I49" s="144"/>
      <c r="J49" s="144"/>
      <c r="K49" s="144"/>
      <c r="L49" s="144"/>
      <c r="M49" s="144"/>
      <c r="N49" s="199"/>
      <c r="O49" s="199"/>
      <c r="P49" s="144"/>
      <c r="Q49" s="144"/>
      <c r="R49" s="2"/>
      <c r="S49" s="87"/>
      <c r="T49" s="87"/>
      <c r="U49" s="87"/>
      <c r="V49" s="17"/>
      <c r="W49" s="17"/>
      <c r="X49" s="17"/>
      <c r="Y49" s="17"/>
      <c r="Z49" s="17"/>
      <c r="AA49" s="17"/>
      <c r="AB49" s="17"/>
      <c r="AC49" s="17"/>
      <c r="AD49" s="17"/>
      <c r="AP49" s="4"/>
      <c r="AQ49" s="54"/>
      <c r="AR49" s="44"/>
      <c r="AS49" s="32"/>
      <c r="AT49" s="4"/>
      <c r="AU49" s="4"/>
      <c r="AV49" s="4"/>
      <c r="AW49" s="55"/>
      <c r="AX49" s="56"/>
      <c r="AY49" s="34"/>
      <c r="AZ49" s="34"/>
      <c r="BA49" s="34"/>
      <c r="BB49" s="34"/>
      <c r="BC49" s="34"/>
      <c r="BD49" s="34"/>
      <c r="BE49" s="34"/>
      <c r="BF49" s="34"/>
      <c r="BG49" s="34"/>
      <c r="BH49" s="34"/>
      <c r="BI49" s="4"/>
      <c r="BJ49" s="4"/>
      <c r="BK49" s="4"/>
      <c r="BL49" s="17"/>
      <c r="BM49" s="17"/>
      <c r="BN49" s="17"/>
      <c r="BO49" s="17"/>
      <c r="BP49" s="17"/>
      <c r="BQ49" s="17"/>
      <c r="BR49" s="17"/>
      <c r="BS49" s="66"/>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row>
    <row r="50" spans="1:151" ht="102" hidden="1" customHeight="1" x14ac:dyDescent="0.2">
      <c r="A50" s="200">
        <f t="shared" si="2"/>
        <v>0</v>
      </c>
      <c r="B50" s="357"/>
      <c r="C50" s="170"/>
      <c r="D50" s="170"/>
      <c r="E50" s="170" t="s">
        <v>48</v>
      </c>
      <c r="F50" s="170" t="s">
        <v>96</v>
      </c>
      <c r="G50" s="170" t="s">
        <v>49</v>
      </c>
      <c r="H50" s="144"/>
      <c r="I50" s="172" t="s">
        <v>52</v>
      </c>
      <c r="J50" s="170" t="s">
        <v>55</v>
      </c>
      <c r="K50" s="170" t="s">
        <v>56</v>
      </c>
      <c r="L50" s="170" t="s">
        <v>57</v>
      </c>
      <c r="M50" s="170" t="s">
        <v>45</v>
      </c>
      <c r="N50" s="170" t="s">
        <v>58</v>
      </c>
      <c r="O50" s="257" t="s">
        <v>73</v>
      </c>
      <c r="P50" s="173"/>
      <c r="Q50" s="173"/>
      <c r="R50" s="2"/>
      <c r="S50" s="87"/>
      <c r="T50" s="87"/>
      <c r="W50" s="17"/>
      <c r="X50" s="65" t="s">
        <v>50</v>
      </c>
      <c r="Y50" s="65" t="s">
        <v>51</v>
      </c>
      <c r="Z50" s="65" t="s">
        <v>53</v>
      </c>
      <c r="AA50" s="65" t="s">
        <v>54</v>
      </c>
      <c r="AB50" s="17"/>
      <c r="AC50" s="17"/>
      <c r="AD50" s="17"/>
      <c r="AP50" s="4"/>
      <c r="AQ50" s="54"/>
      <c r="AR50" s="44"/>
      <c r="AS50" s="32"/>
      <c r="AT50" s="4"/>
      <c r="AU50" s="4"/>
      <c r="AV50" s="4"/>
      <c r="AW50" s="55"/>
      <c r="AX50" s="56"/>
      <c r="AY50" s="34"/>
      <c r="AZ50" s="34"/>
      <c r="BA50" s="34"/>
      <c r="BB50" s="34"/>
      <c r="BC50" s="34"/>
      <c r="BD50" s="34"/>
      <c r="BE50" s="34"/>
      <c r="BF50" s="34"/>
      <c r="BG50" s="34"/>
      <c r="BH50" s="34"/>
      <c r="BI50" s="4"/>
      <c r="BJ50" s="4"/>
      <c r="BK50" s="4"/>
      <c r="BL50" s="17"/>
      <c r="BM50" s="17"/>
      <c r="BN50" s="17"/>
      <c r="BO50" s="17"/>
      <c r="BP50" s="17"/>
      <c r="BQ50" s="17"/>
      <c r="BR50" s="17"/>
      <c r="BS50" s="66"/>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row>
    <row r="51" spans="1:151" ht="18" hidden="1" x14ac:dyDescent="0.2">
      <c r="A51" s="200">
        <f t="shared" si="2"/>
        <v>0</v>
      </c>
      <c r="B51" s="144"/>
      <c r="C51" s="144"/>
      <c r="D51" s="144"/>
      <c r="E51" s="144"/>
      <c r="F51" s="144"/>
      <c r="G51" s="144"/>
      <c r="H51" s="144"/>
      <c r="I51" s="169"/>
      <c r="J51" s="144"/>
      <c r="K51" s="144"/>
      <c r="L51" s="144"/>
      <c r="M51" s="144"/>
      <c r="N51" s="144"/>
      <c r="O51" s="144"/>
      <c r="P51" s="144"/>
      <c r="Q51" s="144"/>
      <c r="R51" s="2"/>
      <c r="S51" s="87"/>
      <c r="T51" s="87"/>
      <c r="U51" s="87"/>
      <c r="V51" s="17"/>
      <c r="W51" s="17"/>
      <c r="X51" s="17"/>
      <c r="Y51" s="17"/>
      <c r="Z51" s="17"/>
      <c r="AA51" s="17"/>
      <c r="AB51" s="17"/>
      <c r="AD51" s="17"/>
      <c r="AP51" s="4"/>
      <c r="AQ51" s="54"/>
      <c r="AR51" s="44"/>
      <c r="AS51" s="32"/>
      <c r="AT51" s="4"/>
      <c r="AU51" s="4"/>
      <c r="AV51" s="4"/>
      <c r="AW51" s="55"/>
      <c r="AX51" s="56"/>
      <c r="AY51" s="34"/>
      <c r="AZ51" s="34"/>
      <c r="BA51" s="34"/>
      <c r="BB51" s="34"/>
      <c r="BC51" s="34"/>
      <c r="BD51" s="34"/>
      <c r="BE51" s="34"/>
      <c r="BF51" s="34"/>
      <c r="BG51" s="34"/>
      <c r="BH51" s="34"/>
      <c r="BI51" s="4"/>
      <c r="BJ51" s="4"/>
      <c r="BK51" s="4"/>
      <c r="BL51" s="17"/>
      <c r="BM51" s="17"/>
      <c r="BN51" s="17"/>
      <c r="BO51" s="17"/>
      <c r="BP51" s="17"/>
      <c r="BQ51" s="17"/>
      <c r="BR51" s="17"/>
      <c r="BS51" s="66"/>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row>
    <row r="52" spans="1:151" s="17" customFormat="1" ht="18.75" hidden="1" thickBot="1" x14ac:dyDescent="0.25">
      <c r="A52" s="165">
        <f t="shared" si="2"/>
        <v>0</v>
      </c>
      <c r="B52" s="201" t="s">
        <v>60</v>
      </c>
      <c r="C52" s="202"/>
      <c r="D52" s="203"/>
      <c r="E52" s="203"/>
      <c r="F52" s="203"/>
      <c r="G52" s="288"/>
      <c r="H52" s="289"/>
      <c r="I52" s="290">
        <v>2</v>
      </c>
      <c r="J52" s="289"/>
      <c r="K52" s="289"/>
      <c r="L52" s="289"/>
      <c r="M52" s="289"/>
      <c r="N52" s="289"/>
      <c r="O52" s="289"/>
      <c r="P52" s="289"/>
      <c r="Q52" s="203"/>
      <c r="R52" s="124"/>
      <c r="S52" s="87"/>
      <c r="T52" s="87"/>
      <c r="U52" s="127">
        <v>10.5</v>
      </c>
      <c r="V52" s="128">
        <v>4</v>
      </c>
      <c r="X52" s="71">
        <f>IF(G54&lt;0.125,(G54*23),IF(G54&lt;0.209,(G54*25),IF(G54&lt;0.288,(G54*28),IF(G54&lt;0.375,(G54*30),(G54*33)))))</f>
        <v>32.996699999999997</v>
      </c>
      <c r="Y52" s="129">
        <f>2*AA64</f>
        <v>2.2052631578947369E-2</v>
      </c>
      <c r="Z52" s="71">
        <f>Y52*(I54-100%)</f>
        <v>3.3078947368421055E-2</v>
      </c>
      <c r="AA52" s="129">
        <f>SUM(Y52,Z52)</f>
        <v>5.513157894736842E-2</v>
      </c>
      <c r="AF52" s="130">
        <f>$AR$5</f>
        <v>1</v>
      </c>
      <c r="AG52" s="92">
        <f>AF52*1.05</f>
        <v>1.05</v>
      </c>
      <c r="AH52" s="93">
        <v>1.9</v>
      </c>
      <c r="AI52" s="95">
        <f>E12</f>
        <v>0.1</v>
      </c>
      <c r="AJ52" s="95">
        <f>AI52/AH52</f>
        <v>5.2631578947368425E-2</v>
      </c>
      <c r="AK52" s="95">
        <f>AI52-AJ52</f>
        <v>4.736842105263158E-2</v>
      </c>
      <c r="AP52" s="4"/>
      <c r="AQ52" s="54"/>
      <c r="AR52" s="44"/>
      <c r="AS52" s="32"/>
      <c r="AT52" s="4"/>
      <c r="AU52" s="4"/>
      <c r="AV52" s="4"/>
      <c r="AW52" s="55"/>
      <c r="AX52" s="56"/>
      <c r="AY52" s="34"/>
      <c r="AZ52" s="34"/>
      <c r="BA52" s="34"/>
      <c r="BB52" s="34"/>
      <c r="BC52" s="34"/>
      <c r="BD52" s="34"/>
      <c r="BE52" s="34"/>
      <c r="BF52" s="34"/>
      <c r="BG52" s="34"/>
      <c r="BH52" s="34"/>
      <c r="BI52" s="4"/>
      <c r="BJ52" s="4"/>
      <c r="BK52" s="4"/>
      <c r="BS52" s="66"/>
    </row>
    <row r="53" spans="1:151" s="17" customFormat="1" ht="6.75" hidden="1" customHeight="1" x14ac:dyDescent="0.2">
      <c r="A53" s="165">
        <f t="shared" si="2"/>
        <v>0</v>
      </c>
      <c r="B53" s="201"/>
      <c r="C53" s="202"/>
      <c r="D53" s="203"/>
      <c r="E53" s="203"/>
      <c r="F53" s="206"/>
      <c r="G53" s="289"/>
      <c r="H53" s="289"/>
      <c r="I53" s="290"/>
      <c r="J53" s="289"/>
      <c r="K53" s="289"/>
      <c r="L53" s="289"/>
      <c r="M53" s="289"/>
      <c r="N53" s="289"/>
      <c r="O53" s="289"/>
      <c r="P53" s="289"/>
      <c r="Q53" s="203"/>
      <c r="R53" s="124"/>
      <c r="S53" s="87"/>
      <c r="T53" s="87"/>
      <c r="U53" s="87"/>
      <c r="X53" s="71"/>
      <c r="Y53" s="129"/>
      <c r="Z53" s="71"/>
      <c r="AA53" s="129"/>
      <c r="AC53" s="71"/>
      <c r="AP53" s="4"/>
      <c r="AQ53" s="54"/>
      <c r="AR53" s="44"/>
      <c r="AS53" s="32"/>
      <c r="AT53" s="4"/>
      <c r="AU53" s="4"/>
      <c r="AV53" s="4"/>
      <c r="AW53" s="55"/>
      <c r="AX53" s="56"/>
      <c r="AY53" s="34"/>
      <c r="AZ53" s="34"/>
      <c r="BA53" s="34"/>
      <c r="BB53" s="34"/>
      <c r="BC53" s="34"/>
      <c r="BD53" s="34"/>
      <c r="BE53" s="34"/>
      <c r="BF53" s="34"/>
      <c r="BG53" s="34"/>
      <c r="BH53" s="34"/>
      <c r="BI53" s="4"/>
      <c r="BJ53" s="4"/>
      <c r="BK53" s="4"/>
      <c r="BS53" s="66"/>
    </row>
    <row r="54" spans="1:151" s="17" customFormat="1" ht="17.25" hidden="1" customHeight="1" thickBot="1" x14ac:dyDescent="0.25">
      <c r="A54" s="165">
        <f t="shared" si="2"/>
        <v>0</v>
      </c>
      <c r="B54" s="201" t="s">
        <v>61</v>
      </c>
      <c r="C54" s="202"/>
      <c r="D54" s="203"/>
      <c r="E54" s="203"/>
      <c r="F54" s="131"/>
      <c r="G54" s="291">
        <f>IF(F54=E56,0.9999,IF(E56&lt;F54,(E56+1-F54),(E56-F54)))</f>
        <v>0.99990000000000001</v>
      </c>
      <c r="H54" s="289"/>
      <c r="I54" s="290">
        <v>2.5</v>
      </c>
      <c r="J54" s="292">
        <f>AA64</f>
        <v>1.1026315789473684E-2</v>
      </c>
      <c r="K54" s="293">
        <f>Y52-Y64</f>
        <v>2.2052631578947369E-2</v>
      </c>
      <c r="L54" s="293">
        <f>Z52</f>
        <v>3.3078947368421055E-2</v>
      </c>
      <c r="M54" s="289"/>
      <c r="N54" s="294" t="str">
        <f>"25 - 26"</f>
        <v>25 - 26</v>
      </c>
      <c r="O54" s="360" t="s">
        <v>22</v>
      </c>
      <c r="P54" s="360"/>
      <c r="Q54" s="208"/>
      <c r="R54" s="124"/>
      <c r="X54" s="71">
        <f>IF(D56&lt;0.125,(D56*23),IF(D56&lt;0.209,(D56*27),IF(D56&lt;0.288,(D56*29),IF(D56&lt;0.375,(D56*31),(D56*33)))))</f>
        <v>0</v>
      </c>
      <c r="Y54" s="129">
        <f>K54+K56</f>
        <v>0.30560812500000001</v>
      </c>
      <c r="Z54" s="71">
        <f>Y54*(I56-100%)</f>
        <v>0.20170136249999998</v>
      </c>
      <c r="AA54" s="129">
        <f>SUM(Y54,Z54)</f>
        <v>0.50730948749999993</v>
      </c>
      <c r="AP54" s="4"/>
      <c r="AQ54" s="54"/>
      <c r="AR54" s="44"/>
      <c r="AS54" s="32"/>
      <c r="AT54" s="4"/>
      <c r="AU54" s="4"/>
      <c r="AV54" s="4"/>
      <c r="AW54" s="55"/>
      <c r="AX54" s="56"/>
      <c r="AY54" s="34"/>
      <c r="AZ54" s="34"/>
      <c r="BA54" s="34"/>
      <c r="BB54" s="34"/>
      <c r="BC54" s="34"/>
      <c r="BD54" s="34"/>
      <c r="BE54" s="34"/>
      <c r="BF54" s="34"/>
      <c r="BG54" s="34"/>
      <c r="BH54" s="34"/>
      <c r="BI54" s="4"/>
      <c r="BJ54" s="4"/>
      <c r="BK54" s="4"/>
      <c r="BS54" s="66"/>
    </row>
    <row r="55" spans="1:151" s="17" customFormat="1" ht="6.75" hidden="1" customHeight="1" x14ac:dyDescent="0.2">
      <c r="A55" s="165">
        <f t="shared" si="2"/>
        <v>0</v>
      </c>
      <c r="B55" s="201"/>
      <c r="C55" s="202"/>
      <c r="D55" s="202"/>
      <c r="E55" s="206"/>
      <c r="F55" s="217"/>
      <c r="G55" s="295"/>
      <c r="H55" s="289"/>
      <c r="I55" s="290"/>
      <c r="J55" s="292"/>
      <c r="K55" s="293"/>
      <c r="L55" s="293"/>
      <c r="M55" s="289"/>
      <c r="N55" s="296"/>
      <c r="O55" s="297"/>
      <c r="P55" s="297"/>
      <c r="Q55" s="203"/>
      <c r="R55" s="124"/>
      <c r="X55" s="71"/>
      <c r="Y55" s="129"/>
      <c r="Z55" s="71"/>
      <c r="AA55" s="129"/>
      <c r="AC55" s="96"/>
      <c r="AP55" s="4"/>
      <c r="AQ55" s="54"/>
      <c r="AR55" s="44"/>
      <c r="AS55" s="32"/>
      <c r="AT55" s="4"/>
      <c r="AU55" s="4"/>
      <c r="AV55" s="4"/>
      <c r="AW55" s="55"/>
      <c r="AX55" s="56"/>
      <c r="AY55" s="34"/>
      <c r="AZ55" s="34"/>
      <c r="BA55" s="34"/>
      <c r="BB55" s="34"/>
      <c r="BC55" s="34"/>
      <c r="BD55" s="34"/>
      <c r="BE55" s="34"/>
      <c r="BF55" s="34"/>
      <c r="BG55" s="34"/>
      <c r="BH55" s="34"/>
      <c r="BI55" s="4"/>
      <c r="BJ55" s="4"/>
      <c r="BK55" s="4"/>
      <c r="BS55" s="66"/>
    </row>
    <row r="56" spans="1:151" s="17" customFormat="1" ht="17.25" hidden="1" customHeight="1" thickBot="1" x14ac:dyDescent="0.25">
      <c r="A56" s="165">
        <f t="shared" si="2"/>
        <v>0</v>
      </c>
      <c r="B56" s="201" t="s">
        <v>62</v>
      </c>
      <c r="C56" s="202"/>
      <c r="D56" s="202"/>
      <c r="E56" s="132"/>
      <c r="F56" s="298">
        <f>E56</f>
        <v>0</v>
      </c>
      <c r="G56" s="291">
        <f>IF(F56=E58,0.9999,IF(E58&lt;F56,(E58+1-F56),(E58-F56)))</f>
        <v>0.99990000000000001</v>
      </c>
      <c r="H56" s="289"/>
      <c r="I56" s="290">
        <f>BA1*1.66</f>
        <v>1.66</v>
      </c>
      <c r="J56" s="292">
        <f>AA52</f>
        <v>5.513157894736842E-2</v>
      </c>
      <c r="K56" s="293">
        <f>5.14325*AA52</f>
        <v>0.28355549342105263</v>
      </c>
      <c r="L56" s="293">
        <f>Z54-Z52</f>
        <v>0.16862241513157894</v>
      </c>
      <c r="M56" s="289"/>
      <c r="N56" s="294" t="s">
        <v>16</v>
      </c>
      <c r="O56" s="360" t="s">
        <v>98</v>
      </c>
      <c r="P56" s="360"/>
      <c r="Q56" s="208"/>
      <c r="R56" s="124"/>
      <c r="X56" s="71">
        <f>IF(D58&lt;0.125,(D58*23),IF(D58&lt;0.209,(D58*25),IF(D58&lt;0.288,(D58*29),IF(D58&lt;0.375,(D58*31),(D58*33)))))</f>
        <v>0</v>
      </c>
      <c r="Y56" s="133">
        <f>SUM(K54:K58)</f>
        <v>1.1026341150000001</v>
      </c>
      <c r="Z56" s="71">
        <f>Y56*(I58-100%)</f>
        <v>0.99237070350000001</v>
      </c>
      <c r="AA56" s="129">
        <f>SUM(Y56,Z56)</f>
        <v>2.0950048185000001</v>
      </c>
      <c r="AP56" s="4"/>
      <c r="AQ56" s="54"/>
      <c r="AR56" s="44"/>
      <c r="AS56" s="32"/>
      <c r="AT56" s="4"/>
      <c r="AU56" s="4"/>
      <c r="AV56" s="4"/>
      <c r="AW56" s="55"/>
      <c r="AX56" s="56"/>
      <c r="AY56" s="34"/>
      <c r="AZ56" s="34"/>
      <c r="BA56" s="34"/>
      <c r="BB56" s="34"/>
      <c r="BC56" s="34"/>
      <c r="BD56" s="34"/>
      <c r="BE56" s="34"/>
      <c r="BF56" s="34"/>
      <c r="BG56" s="34"/>
      <c r="BH56" s="34"/>
      <c r="BI56" s="4"/>
      <c r="BJ56" s="4"/>
      <c r="BK56" s="4"/>
      <c r="BS56" s="66"/>
    </row>
    <row r="57" spans="1:151" s="17" customFormat="1" ht="6.75" hidden="1" customHeight="1" x14ac:dyDescent="0.2">
      <c r="A57" s="165">
        <f t="shared" si="2"/>
        <v>0</v>
      </c>
      <c r="B57" s="201"/>
      <c r="C57" s="202"/>
      <c r="D57" s="202"/>
      <c r="E57" s="134"/>
      <c r="F57" s="289"/>
      <c r="G57" s="295"/>
      <c r="H57" s="289"/>
      <c r="I57" s="290"/>
      <c r="J57" s="292"/>
      <c r="K57" s="293"/>
      <c r="L57" s="293"/>
      <c r="M57" s="289"/>
      <c r="N57" s="296"/>
      <c r="O57" s="297"/>
      <c r="P57" s="297"/>
      <c r="Q57" s="203"/>
      <c r="R57" s="124"/>
      <c r="AC57" s="71"/>
      <c r="AP57" s="4"/>
      <c r="AQ57" s="54"/>
      <c r="AR57" s="44"/>
      <c r="AS57" s="32"/>
      <c r="AT57" s="4"/>
      <c r="AU57" s="4"/>
      <c r="AV57" s="4"/>
      <c r="AW57" s="55"/>
      <c r="AX57" s="56"/>
      <c r="AY57" s="34"/>
      <c r="AZ57" s="34"/>
      <c r="BA57" s="34"/>
      <c r="BB57" s="34"/>
      <c r="BC57" s="34"/>
      <c r="BD57" s="34"/>
      <c r="BE57" s="34"/>
      <c r="BF57" s="34"/>
      <c r="BG57" s="34"/>
      <c r="BH57" s="34"/>
      <c r="BI57" s="4"/>
      <c r="BJ57" s="4"/>
      <c r="BK57" s="4"/>
      <c r="BS57" s="66"/>
    </row>
    <row r="58" spans="1:151" s="17" customFormat="1" ht="17.25" hidden="1" customHeight="1" thickBot="1" x14ac:dyDescent="0.25">
      <c r="A58" s="165">
        <f t="shared" si="2"/>
        <v>0</v>
      </c>
      <c r="B58" s="201" t="s">
        <v>63</v>
      </c>
      <c r="C58" s="202"/>
      <c r="D58" s="202"/>
      <c r="E58" s="131"/>
      <c r="F58" s="299">
        <f>E58</f>
        <v>0</v>
      </c>
      <c r="G58" s="291">
        <f>IF(F58=E60,0.9999,IF(E60&lt;F58,(E60+1-F58),(E60-F58)))</f>
        <v>0.99990000000000001</v>
      </c>
      <c r="H58" s="289"/>
      <c r="I58" s="290">
        <f>AH52*BA1</f>
        <v>1.9</v>
      </c>
      <c r="J58" s="292">
        <f>AA54</f>
        <v>0.50730948749999993</v>
      </c>
      <c r="K58" s="293">
        <f>2.608*Y54-M58</f>
        <v>0.79702599000000007</v>
      </c>
      <c r="L58" s="293">
        <f>Z56-Z54</f>
        <v>0.79066934100000008</v>
      </c>
      <c r="M58" s="292">
        <f>$AU$6</f>
        <v>0</v>
      </c>
      <c r="N58" s="294">
        <f>IF(D58&lt;0.1354,32,IF(D58&lt;0.15625,30,28))</f>
        <v>32</v>
      </c>
      <c r="O58" s="360" t="s">
        <v>21</v>
      </c>
      <c r="P58" s="360"/>
      <c r="Q58" s="208"/>
      <c r="R58" s="124"/>
      <c r="AP58" s="4"/>
      <c r="AQ58" s="54"/>
      <c r="AR58" s="44"/>
      <c r="AS58" s="32"/>
      <c r="AT58" s="4"/>
      <c r="AU58" s="4"/>
      <c r="AV58" s="4"/>
      <c r="AW58" s="55"/>
      <c r="AX58" s="56"/>
      <c r="AY58" s="34"/>
      <c r="AZ58" s="34"/>
      <c r="BA58" s="34"/>
      <c r="BB58" s="34"/>
      <c r="BC58" s="34"/>
      <c r="BD58" s="34"/>
      <c r="BE58" s="34"/>
      <c r="BF58" s="34"/>
      <c r="BG58" s="34"/>
      <c r="BH58" s="34"/>
      <c r="BI58" s="4"/>
      <c r="BJ58" s="4"/>
      <c r="BK58" s="4"/>
      <c r="BS58" s="66"/>
    </row>
    <row r="59" spans="1:151" s="4" customFormat="1" ht="5.25" hidden="1" customHeight="1" x14ac:dyDescent="0.2">
      <c r="A59" s="165">
        <f t="shared" si="2"/>
        <v>0</v>
      </c>
      <c r="B59" s="201"/>
      <c r="C59" s="202"/>
      <c r="D59" s="202"/>
      <c r="E59" s="134"/>
      <c r="F59" s="203"/>
      <c r="G59" s="204"/>
      <c r="H59" s="209"/>
      <c r="I59" s="210"/>
      <c r="J59" s="210"/>
      <c r="K59" s="211"/>
      <c r="L59" s="212"/>
      <c r="M59" s="209"/>
      <c r="N59" s="203"/>
      <c r="O59" s="213"/>
      <c r="P59" s="213"/>
      <c r="Q59" s="203"/>
      <c r="R59" s="124"/>
      <c r="S59" s="17"/>
      <c r="T59" s="17"/>
      <c r="U59" s="17"/>
      <c r="W59" s="17"/>
      <c r="X59" s="17"/>
      <c r="Y59" s="17"/>
      <c r="Z59" s="17"/>
      <c r="AA59" s="17"/>
      <c r="AB59" s="17"/>
      <c r="AC59" s="55"/>
      <c r="AD59" s="17"/>
      <c r="AQ59" s="54"/>
      <c r="AR59" s="44"/>
      <c r="AS59" s="32"/>
      <c r="AW59" s="55"/>
      <c r="AX59" s="56"/>
      <c r="AY59" s="34"/>
      <c r="AZ59" s="34"/>
      <c r="BA59" s="34"/>
      <c r="BB59" s="34"/>
      <c r="BC59" s="34"/>
      <c r="BD59" s="34"/>
      <c r="BE59" s="34"/>
      <c r="BF59" s="34"/>
      <c r="BG59" s="34"/>
      <c r="BH59" s="34"/>
      <c r="BS59" s="66"/>
    </row>
    <row r="60" spans="1:151" s="17" customFormat="1" ht="17.25" hidden="1" customHeight="1" thickBot="1" x14ac:dyDescent="0.25">
      <c r="A60" s="165">
        <f t="shared" si="2"/>
        <v>0</v>
      </c>
      <c r="B60" s="201" t="s">
        <v>95</v>
      </c>
      <c r="C60" s="203"/>
      <c r="D60" s="203"/>
      <c r="E60" s="131"/>
      <c r="F60" s="203"/>
      <c r="G60" s="205"/>
      <c r="H60" s="203"/>
      <c r="I60" s="203"/>
      <c r="J60" s="203"/>
      <c r="K60" s="203"/>
      <c r="L60" s="203"/>
      <c r="M60" s="203"/>
      <c r="N60" s="203"/>
      <c r="O60" s="203"/>
      <c r="P60" s="203"/>
      <c r="Q60" s="203"/>
      <c r="R60" s="124"/>
      <c r="T60" s="82">
        <f>IF(U60&lt;&gt;"",U60,0)</f>
        <v>0</v>
      </c>
      <c r="U60" s="83" t="str">
        <f>IF(A52&lt;&gt;1,"",IF(K58&lt;0,101%,M58/SUM(M58,K58)))</f>
        <v/>
      </c>
      <c r="AP60" s="4"/>
      <c r="AQ60" s="54"/>
      <c r="AR60" s="44"/>
      <c r="AS60" s="32"/>
      <c r="AT60" s="4"/>
      <c r="AU60" s="4"/>
      <c r="AV60" s="4"/>
      <c r="AW60" s="55"/>
      <c r="AX60" s="56"/>
      <c r="AY60" s="34"/>
      <c r="AZ60" s="34"/>
      <c r="BA60" s="34"/>
      <c r="BB60" s="34"/>
      <c r="BC60" s="34"/>
      <c r="BD60" s="34"/>
      <c r="BE60" s="34"/>
      <c r="BF60" s="34"/>
      <c r="BG60" s="34"/>
      <c r="BH60" s="34"/>
      <c r="BI60" s="4"/>
      <c r="BJ60" s="4"/>
      <c r="BK60" s="4"/>
      <c r="BS60" s="66"/>
    </row>
    <row r="61" spans="1:151" ht="6.75" hidden="1" customHeight="1" x14ac:dyDescent="0.2">
      <c r="A61" s="200">
        <f t="shared" si="2"/>
        <v>0</v>
      </c>
      <c r="B61" s="144"/>
      <c r="C61" s="144"/>
      <c r="D61" s="146"/>
      <c r="E61" s="188"/>
      <c r="F61" s="188"/>
      <c r="G61" s="189"/>
      <c r="H61" s="150"/>
      <c r="I61" s="188"/>
      <c r="J61" s="188"/>
      <c r="K61" s="150"/>
      <c r="L61" s="188"/>
      <c r="M61" s="146"/>
      <c r="N61" s="176"/>
      <c r="O61" s="144"/>
      <c r="P61" s="144"/>
      <c r="Q61" s="144"/>
      <c r="R61" s="2"/>
      <c r="S61" s="17"/>
      <c r="T61" s="17"/>
      <c r="U61" s="17"/>
      <c r="V61" s="17"/>
      <c r="W61" s="17"/>
      <c r="X61" s="17"/>
      <c r="Y61" s="17"/>
      <c r="Z61" s="17"/>
      <c r="AA61" s="17"/>
      <c r="AB61" s="17"/>
      <c r="AC61" s="17"/>
      <c r="AD61" s="17"/>
      <c r="AP61" s="4"/>
      <c r="AQ61" s="54"/>
      <c r="AR61" s="44"/>
      <c r="AS61" s="32"/>
      <c r="AT61" s="4"/>
      <c r="AU61" s="4"/>
      <c r="AV61" s="4"/>
      <c r="AW61" s="55"/>
      <c r="AX61" s="56"/>
      <c r="AY61" s="34"/>
      <c r="AZ61" s="34"/>
      <c r="BA61" s="34"/>
      <c r="BB61" s="34"/>
      <c r="BC61" s="34"/>
      <c r="BD61" s="34"/>
      <c r="BE61" s="34"/>
      <c r="BF61" s="34"/>
      <c r="BG61" s="34"/>
      <c r="BH61" s="34"/>
      <c r="BI61" s="4"/>
      <c r="BJ61" s="4"/>
      <c r="BK61" s="4"/>
      <c r="BL61" s="17"/>
      <c r="BM61" s="17"/>
      <c r="BN61" s="17"/>
      <c r="BO61" s="17"/>
      <c r="BP61" s="17"/>
      <c r="BQ61" s="17"/>
      <c r="BR61" s="17"/>
      <c r="BS61" s="66"/>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row>
    <row r="62" spans="1:151" ht="18" hidden="1" x14ac:dyDescent="0.2">
      <c r="A62" s="200">
        <f t="shared" si="2"/>
        <v>0</v>
      </c>
      <c r="B62" s="97"/>
      <c r="C62" s="164"/>
      <c r="D62" s="144"/>
      <c r="E62" s="196" t="str">
        <f>IF(SUM(F54,E56,E58,E60)=0,"ZEITEN EINGEBEN",IF(OR(OR(G54&lt;0.208333,G54&gt;0.25),OR(G56&lt;0.625,G56&gt;1),OR(G58&lt;0.125,G58&gt;0.166667)),"ZEITEINGABEN KORRIGIEREN",""))</f>
        <v>ZEITEN EINGEBEN</v>
      </c>
      <c r="F62" s="214"/>
      <c r="G62" s="214"/>
      <c r="H62" s="150"/>
      <c r="I62" s="188"/>
      <c r="J62" s="188"/>
      <c r="K62" s="150"/>
      <c r="L62" s="188"/>
      <c r="M62" s="146"/>
      <c r="N62" s="176"/>
      <c r="O62" s="144"/>
      <c r="P62" s="144"/>
      <c r="Q62" s="144"/>
      <c r="R62" s="2"/>
      <c r="S62" s="17"/>
      <c r="T62" s="17"/>
      <c r="U62" s="17"/>
      <c r="V62" s="17"/>
      <c r="W62" s="17"/>
      <c r="X62" s="17"/>
      <c r="Y62" s="17"/>
      <c r="Z62" s="17"/>
      <c r="AA62" s="17"/>
      <c r="AB62" s="17"/>
      <c r="AC62" s="17"/>
      <c r="AD62" s="17"/>
      <c r="AP62" s="4"/>
      <c r="AQ62" s="54"/>
      <c r="AR62" s="44"/>
      <c r="AS62" s="32"/>
      <c r="AT62" s="4"/>
      <c r="AU62" s="4"/>
      <c r="AV62" s="4"/>
      <c r="AW62" s="55"/>
      <c r="AX62" s="56"/>
      <c r="AY62" s="34"/>
      <c r="AZ62" s="34"/>
      <c r="BA62" s="34"/>
      <c r="BB62" s="34"/>
      <c r="BC62" s="34"/>
      <c r="BD62" s="34"/>
      <c r="BE62" s="34"/>
      <c r="BF62" s="34"/>
      <c r="BG62" s="34"/>
      <c r="BH62" s="34"/>
      <c r="BI62" s="4"/>
      <c r="BJ62" s="4"/>
      <c r="BK62" s="4"/>
      <c r="BL62" s="17"/>
      <c r="BM62" s="17"/>
      <c r="BN62" s="17"/>
      <c r="BO62" s="17"/>
      <c r="BP62" s="17"/>
      <c r="BQ62" s="17"/>
      <c r="BR62" s="17"/>
      <c r="BS62" s="66"/>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row>
    <row r="63" spans="1:151" ht="18" hidden="1" x14ac:dyDescent="0.2">
      <c r="A63" s="200">
        <f t="shared" si="2"/>
        <v>0</v>
      </c>
      <c r="B63" s="97"/>
      <c r="C63" s="164"/>
      <c r="D63" s="146"/>
      <c r="E63" s="146"/>
      <c r="F63" s="150"/>
      <c r="G63" s="146"/>
      <c r="H63" s="190"/>
      <c r="I63" s="146"/>
      <c r="J63" s="189"/>
      <c r="K63" s="190"/>
      <c r="L63" s="146"/>
      <c r="M63" s="146"/>
      <c r="N63" s="176"/>
      <c r="O63" s="215"/>
      <c r="P63" s="144"/>
      <c r="Q63" s="144"/>
      <c r="R63" s="2"/>
      <c r="S63" s="17"/>
      <c r="T63" s="17"/>
      <c r="U63" s="17"/>
      <c r="V63" s="17"/>
      <c r="W63" s="17"/>
      <c r="X63" s="65"/>
      <c r="Y63" s="65"/>
      <c r="Z63" s="65"/>
      <c r="AA63" s="65"/>
      <c r="AB63" s="17"/>
      <c r="AC63" s="17"/>
      <c r="AD63" s="17"/>
      <c r="AP63" s="4"/>
      <c r="AQ63" s="54"/>
      <c r="AR63" s="44"/>
      <c r="AS63" s="32"/>
      <c r="AT63" s="4"/>
      <c r="AU63" s="4"/>
      <c r="AV63" s="4"/>
      <c r="AW63" s="55"/>
      <c r="AX63" s="56"/>
      <c r="AY63" s="34"/>
      <c r="AZ63" s="34"/>
      <c r="BA63" s="34"/>
      <c r="BB63" s="34"/>
      <c r="BC63" s="34"/>
      <c r="BD63" s="34"/>
      <c r="BE63" s="34"/>
      <c r="BF63" s="34"/>
      <c r="BG63" s="34"/>
      <c r="BH63" s="34"/>
      <c r="BI63" s="4"/>
      <c r="BJ63" s="4"/>
      <c r="BK63" s="4"/>
      <c r="BL63" s="17"/>
      <c r="BM63" s="17"/>
      <c r="BN63" s="17"/>
      <c r="BO63" s="17"/>
      <c r="BP63" s="17"/>
      <c r="BQ63" s="17"/>
      <c r="BR63" s="17"/>
      <c r="BS63" s="66"/>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row>
    <row r="64" spans="1:151" ht="18" hidden="1" x14ac:dyDescent="0.2">
      <c r="A64" s="200">
        <f t="shared" si="2"/>
        <v>0</v>
      </c>
      <c r="B64" s="61"/>
      <c r="C64" s="218"/>
      <c r="D64" s="218"/>
      <c r="E64" s="144"/>
      <c r="F64" s="216"/>
      <c r="G64" s="216"/>
      <c r="H64" s="144"/>
      <c r="I64" s="144"/>
      <c r="J64" s="144"/>
      <c r="K64" s="144"/>
      <c r="L64" s="144"/>
      <c r="M64" s="144"/>
      <c r="N64" s="144"/>
      <c r="O64" s="144"/>
      <c r="P64" s="144"/>
      <c r="Q64" s="144"/>
      <c r="R64" s="2"/>
      <c r="S64" s="17"/>
      <c r="T64" s="17"/>
      <c r="U64" s="17"/>
      <c r="V64" s="17"/>
      <c r="W64" s="17"/>
      <c r="X64" s="65"/>
      <c r="Y64" s="75"/>
      <c r="Z64" s="65"/>
      <c r="AA64" s="75">
        <f>0.01*(SUM(AG52,AJ52))</f>
        <v>1.1026315789473684E-2</v>
      </c>
      <c r="AB64" s="17"/>
      <c r="AC64" s="17"/>
      <c r="AD64" s="17"/>
      <c r="AP64" s="4"/>
      <c r="AQ64" s="54"/>
      <c r="AR64" s="44"/>
      <c r="AS64" s="32"/>
      <c r="AT64" s="4"/>
      <c r="AU64" s="4"/>
      <c r="AV64" s="4"/>
      <c r="AW64" s="55"/>
      <c r="AX64" s="56"/>
      <c r="AY64" s="34"/>
      <c r="AZ64" s="34"/>
      <c r="BA64" s="34"/>
      <c r="BB64" s="34"/>
      <c r="BC64" s="34"/>
      <c r="BD64" s="34"/>
      <c r="BE64" s="34"/>
      <c r="BF64" s="34"/>
      <c r="BG64" s="34"/>
      <c r="BH64" s="34"/>
      <c r="BI64" s="4"/>
      <c r="BJ64" s="4"/>
      <c r="BK64" s="4"/>
      <c r="BL64" s="17"/>
      <c r="BM64" s="17"/>
      <c r="BN64" s="17"/>
      <c r="BO64" s="17"/>
      <c r="BP64" s="17"/>
      <c r="BQ64" s="17"/>
      <c r="BR64" s="17"/>
      <c r="BS64" s="66"/>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row>
    <row r="65" spans="1:151" ht="18" x14ac:dyDescent="0.25">
      <c r="A65" s="165">
        <f t="shared" ref="A65:A78" si="3">IF(SAUERKÜRZEL=$B$65,1,0)</f>
        <v>1</v>
      </c>
      <c r="B65" s="357" t="s">
        <v>25</v>
      </c>
      <c r="C65" s="144"/>
      <c r="D65" s="144"/>
      <c r="E65" s="259" t="s">
        <v>0</v>
      </c>
      <c r="F65" s="160"/>
      <c r="G65" s="160"/>
      <c r="H65" s="144"/>
      <c r="I65" s="144"/>
      <c r="J65" s="144"/>
      <c r="K65" s="144"/>
      <c r="L65" s="160"/>
      <c r="M65" s="144"/>
      <c r="N65" s="160"/>
      <c r="O65" s="161"/>
      <c r="P65" s="160"/>
      <c r="Q65" s="160"/>
      <c r="R65" s="63"/>
      <c r="S65" s="17"/>
      <c r="T65" s="17"/>
      <c r="U65" s="17"/>
      <c r="V65" s="17"/>
      <c r="W65" s="17"/>
      <c r="X65" s="65"/>
      <c r="Y65" s="75"/>
      <c r="Z65" s="65"/>
      <c r="AA65" s="75"/>
      <c r="AB65" s="17"/>
      <c r="AC65" s="17"/>
      <c r="AD65" s="17"/>
      <c r="AP65" s="4"/>
      <c r="AQ65" s="54"/>
      <c r="AR65" s="44"/>
      <c r="AS65" s="32"/>
      <c r="AT65" s="4"/>
      <c r="AU65" s="4"/>
      <c r="AV65" s="4"/>
      <c r="AW65" s="55"/>
      <c r="AX65" s="56"/>
      <c r="AY65" s="34"/>
      <c r="AZ65" s="34"/>
      <c r="BA65" s="34"/>
      <c r="BB65" s="34"/>
      <c r="BC65" s="34"/>
      <c r="BD65" s="34"/>
      <c r="BE65" s="34"/>
      <c r="BF65" s="34"/>
      <c r="BG65" s="34"/>
      <c r="BH65" s="34"/>
      <c r="BI65" s="4"/>
      <c r="BJ65" s="4"/>
      <c r="BK65" s="4"/>
      <c r="BL65" s="17"/>
      <c r="BM65" s="17"/>
      <c r="BN65" s="17"/>
      <c r="BO65" s="17"/>
      <c r="BP65" s="17"/>
      <c r="BQ65" s="17"/>
      <c r="BR65" s="17"/>
      <c r="BS65" s="66"/>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row>
    <row r="66" spans="1:151" ht="103.5" customHeight="1" x14ac:dyDescent="0.2">
      <c r="A66" s="62">
        <f t="shared" si="3"/>
        <v>1</v>
      </c>
      <c r="B66" s="357"/>
      <c r="C66" s="160"/>
      <c r="D66" s="160"/>
      <c r="E66" s="170" t="s">
        <v>48</v>
      </c>
      <c r="F66" s="167" t="s">
        <v>96</v>
      </c>
      <c r="G66" s="170" t="s">
        <v>49</v>
      </c>
      <c r="H66" s="160"/>
      <c r="I66" s="172" t="s">
        <v>52</v>
      </c>
      <c r="J66" s="170" t="s">
        <v>54</v>
      </c>
      <c r="K66" s="170" t="s">
        <v>56</v>
      </c>
      <c r="L66" s="170" t="s">
        <v>57</v>
      </c>
      <c r="M66" s="170" t="s">
        <v>45</v>
      </c>
      <c r="N66" s="170" t="s">
        <v>58</v>
      </c>
      <c r="O66" s="257" t="s">
        <v>73</v>
      </c>
      <c r="P66" s="173"/>
      <c r="Q66" s="173"/>
      <c r="R66" s="63"/>
      <c r="S66" s="17"/>
      <c r="T66" s="17"/>
      <c r="W66" s="17"/>
      <c r="X66" s="65" t="s">
        <v>50</v>
      </c>
      <c r="Y66" s="65" t="s">
        <v>51</v>
      </c>
      <c r="Z66" s="65" t="s">
        <v>53</v>
      </c>
      <c r="AA66" s="65" t="s">
        <v>55</v>
      </c>
      <c r="AB66" s="17"/>
      <c r="AC66" s="17"/>
      <c r="AD66" s="17"/>
      <c r="AP66" s="4"/>
      <c r="AQ66" s="54"/>
      <c r="AR66" s="44"/>
      <c r="AS66" s="32"/>
      <c r="AT66" s="4"/>
      <c r="AU66" s="4"/>
      <c r="AV66" s="4"/>
      <c r="AW66" s="55"/>
      <c r="AX66" s="56"/>
      <c r="AY66" s="34"/>
      <c r="AZ66" s="34"/>
      <c r="BA66" s="34"/>
      <c r="BB66" s="34"/>
      <c r="BC66" s="34"/>
      <c r="BD66" s="34"/>
      <c r="BE66" s="34"/>
      <c r="BF66" s="34"/>
      <c r="BG66" s="34"/>
      <c r="BH66" s="34"/>
      <c r="BI66" s="4"/>
      <c r="BJ66" s="4"/>
      <c r="BK66" s="4"/>
      <c r="BL66" s="17"/>
      <c r="BM66" s="17"/>
      <c r="BN66" s="17"/>
      <c r="BO66" s="17"/>
      <c r="BP66" s="17"/>
      <c r="BQ66" s="17"/>
      <c r="BR66" s="17"/>
      <c r="BS66" s="66"/>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row>
    <row r="67" spans="1:151" ht="7.5" customHeight="1" thickBot="1" x14ac:dyDescent="0.25">
      <c r="A67" s="165">
        <f t="shared" si="3"/>
        <v>1</v>
      </c>
      <c r="B67" s="160"/>
      <c r="C67" s="160"/>
      <c r="D67" s="160"/>
      <c r="E67" s="160"/>
      <c r="F67" s="160"/>
      <c r="G67" s="144"/>
      <c r="H67" s="160"/>
      <c r="I67" s="169"/>
      <c r="J67" s="144"/>
      <c r="K67" s="144"/>
      <c r="L67" s="144"/>
      <c r="M67" s="160"/>
      <c r="N67" s="144"/>
      <c r="O67" s="160"/>
      <c r="P67" s="160"/>
      <c r="Q67" s="160"/>
      <c r="R67" s="63"/>
      <c r="S67" s="17"/>
      <c r="T67" s="17"/>
      <c r="U67" s="17"/>
      <c r="V67" s="17"/>
      <c r="W67" s="17"/>
      <c r="X67" s="65"/>
      <c r="Y67" s="75"/>
      <c r="Z67" s="65"/>
      <c r="AA67" s="65"/>
      <c r="AB67" s="17"/>
      <c r="AD67" s="17"/>
      <c r="AP67" s="4"/>
      <c r="AQ67" s="54"/>
      <c r="AR67" s="44"/>
      <c r="AS67" s="32"/>
      <c r="AT67" s="4"/>
      <c r="AU67" s="4"/>
      <c r="AV67" s="4"/>
      <c r="AW67" s="55"/>
      <c r="AX67" s="56"/>
      <c r="AY67" s="34"/>
      <c r="AZ67" s="34"/>
      <c r="BA67" s="34"/>
      <c r="BB67" s="34"/>
      <c r="BC67" s="34"/>
      <c r="BD67" s="34"/>
      <c r="BE67" s="34"/>
      <c r="BF67" s="34"/>
      <c r="BG67" s="34"/>
      <c r="BH67" s="34"/>
      <c r="BI67" s="4"/>
      <c r="BJ67" s="4"/>
      <c r="BK67" s="4"/>
      <c r="BL67" s="17"/>
      <c r="BM67" s="17"/>
      <c r="BN67" s="17"/>
      <c r="BO67" s="17"/>
      <c r="BP67" s="17"/>
      <c r="BQ67" s="17"/>
      <c r="BR67" s="17"/>
      <c r="BS67" s="66"/>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row>
    <row r="68" spans="1:151" s="17" customFormat="1" ht="17.25" customHeight="1" thickBot="1" x14ac:dyDescent="0.25">
      <c r="A68" s="165">
        <f t="shared" si="3"/>
        <v>1</v>
      </c>
      <c r="B68" s="201" t="s">
        <v>60</v>
      </c>
      <c r="C68" s="203"/>
      <c r="D68" s="203"/>
      <c r="E68" s="203"/>
      <c r="F68" s="203"/>
      <c r="G68" s="288"/>
      <c r="H68" s="289"/>
      <c r="I68" s="290">
        <v>2</v>
      </c>
      <c r="J68" s="292">
        <f>SUM(AG68,AJ68)*0.0153</f>
        <v>1.6914999999999999E-2</v>
      </c>
      <c r="K68" s="292"/>
      <c r="L68" s="292"/>
      <c r="M68" s="289"/>
      <c r="N68" s="289"/>
      <c r="O68" s="289"/>
      <c r="P68" s="289"/>
      <c r="Q68" s="203"/>
      <c r="R68" s="124"/>
      <c r="U68" s="127">
        <v>10.5</v>
      </c>
      <c r="V68" s="128">
        <v>4</v>
      </c>
      <c r="X68" s="71">
        <f>IF(G68&lt;0.125,(G68*23),IF(G68&lt;0.209,(G68*27),IF(G68&lt;0.288,(G68*29),IF(G68&lt;0.375,(G68*31),(G68*33)))))</f>
        <v>0</v>
      </c>
      <c r="Y68" s="129">
        <f>M70+K70</f>
        <v>0.27063999999999999</v>
      </c>
      <c r="Z68" s="71">
        <f>L68+L70</f>
        <v>0.13532</v>
      </c>
      <c r="AA68" s="129">
        <f>J68</f>
        <v>1.6914999999999999E-2</v>
      </c>
      <c r="AF68" s="130">
        <f>$AR$5</f>
        <v>1</v>
      </c>
      <c r="AG68" s="92">
        <f>AF68*1.05</f>
        <v>1.05</v>
      </c>
      <c r="AH68" s="93">
        <v>1.8</v>
      </c>
      <c r="AI68" s="95">
        <f>E12</f>
        <v>0.1</v>
      </c>
      <c r="AJ68" s="95">
        <f>AI68/AH68</f>
        <v>5.5555555555555559E-2</v>
      </c>
      <c r="AK68" s="95">
        <f>AI68-AJ68</f>
        <v>4.4444444444444446E-2</v>
      </c>
      <c r="AP68" s="4"/>
      <c r="AQ68" s="54"/>
      <c r="AR68" s="44"/>
      <c r="AS68" s="32"/>
      <c r="AT68" s="4"/>
      <c r="AU68" s="4"/>
      <c r="AV68" s="4"/>
      <c r="AW68" s="55"/>
      <c r="AX68" s="56"/>
      <c r="AY68" s="34"/>
      <c r="AZ68" s="34"/>
      <c r="BA68" s="34"/>
      <c r="BB68" s="34"/>
      <c r="BC68" s="34"/>
      <c r="BD68" s="34"/>
      <c r="BE68" s="34"/>
      <c r="BF68" s="34"/>
      <c r="BG68" s="34"/>
      <c r="BH68" s="34"/>
      <c r="BI68" s="4"/>
      <c r="BJ68" s="4"/>
      <c r="BK68" s="4"/>
      <c r="BS68" s="66"/>
    </row>
    <row r="69" spans="1:151" s="17" customFormat="1" ht="4.5" customHeight="1" x14ac:dyDescent="0.2">
      <c r="A69" s="165">
        <f t="shared" si="3"/>
        <v>1</v>
      </c>
      <c r="B69" s="201"/>
      <c r="C69" s="203"/>
      <c r="D69" s="203"/>
      <c r="E69" s="203"/>
      <c r="F69" s="206"/>
      <c r="G69" s="288"/>
      <c r="H69" s="289"/>
      <c r="I69" s="290"/>
      <c r="J69" s="292"/>
      <c r="K69" s="292"/>
      <c r="L69" s="292"/>
      <c r="M69" s="289"/>
      <c r="N69" s="289"/>
      <c r="O69" s="289"/>
      <c r="P69" s="289"/>
      <c r="Q69" s="203"/>
      <c r="R69" s="124"/>
      <c r="X69" s="71"/>
      <c r="Y69" s="129"/>
      <c r="Z69" s="71"/>
      <c r="AA69" s="129"/>
      <c r="AC69" s="71"/>
      <c r="AP69" s="4"/>
      <c r="AQ69" s="54"/>
      <c r="AR69" s="44"/>
      <c r="AS69" s="32"/>
      <c r="AT69" s="4"/>
      <c r="AU69" s="4"/>
      <c r="AV69" s="4"/>
      <c r="AW69" s="55"/>
      <c r="AX69" s="56"/>
      <c r="AY69" s="34"/>
      <c r="AZ69" s="34"/>
      <c r="BA69" s="34"/>
      <c r="BB69" s="34"/>
      <c r="BC69" s="34"/>
      <c r="BD69" s="34"/>
      <c r="BE69" s="34"/>
      <c r="BF69" s="34"/>
      <c r="BG69" s="34"/>
      <c r="BH69" s="34"/>
      <c r="BI69" s="4"/>
      <c r="BJ69" s="4"/>
      <c r="BK69" s="4"/>
      <c r="BS69" s="66"/>
    </row>
    <row r="70" spans="1:151" s="17" customFormat="1" ht="17.25" customHeight="1" thickBot="1" x14ac:dyDescent="0.25">
      <c r="A70" s="165">
        <f t="shared" si="3"/>
        <v>1</v>
      </c>
      <c r="B70" s="201" t="s">
        <v>62</v>
      </c>
      <c r="C70" s="203"/>
      <c r="D70" s="203"/>
      <c r="E70" s="203"/>
      <c r="F70" s="131">
        <v>0.66666666666666663</v>
      </c>
      <c r="G70" s="288">
        <f>IF(F70=E72,0.9999,IF(E72&lt;F70,(E72+1-F70),(E72-F70)))</f>
        <v>0.81250000000000011</v>
      </c>
      <c r="H70" s="289"/>
      <c r="I70" s="290">
        <f>1.5*BA1</f>
        <v>1.5</v>
      </c>
      <c r="J70" s="292">
        <f>Y68*I70</f>
        <v>0.40595999999999999</v>
      </c>
      <c r="K70" s="293">
        <f>16*J68-M70</f>
        <v>0.27063999999999999</v>
      </c>
      <c r="L70" s="293">
        <f>J70-SUM(K70,M70)</f>
        <v>0.13532</v>
      </c>
      <c r="M70" s="292">
        <f>$AU$6</f>
        <v>0</v>
      </c>
      <c r="N70" s="300" t="s">
        <v>16</v>
      </c>
      <c r="O70" s="359" t="s">
        <v>98</v>
      </c>
      <c r="P70" s="359"/>
      <c r="Q70" s="208"/>
      <c r="R70" s="124"/>
      <c r="X70" s="71">
        <f>IF(G70&lt;0.125,(G70*23),IF(G70&lt;0.209,(G70*25),IF(G70&lt;0.288,(G70*29),IF(G70&lt;0.375,(G70*31),(G70*33)))))</f>
        <v>26.812500000000004</v>
      </c>
      <c r="Y70" s="133">
        <f>SUM(Y68,K72)</f>
        <v>1.08256</v>
      </c>
      <c r="Z70" s="71">
        <f>Y70*(I72-1)</f>
        <v>0.86604800000000004</v>
      </c>
      <c r="AA70" s="129">
        <f>SUM(K70:L70)</f>
        <v>0.40595999999999999</v>
      </c>
      <c r="AP70" s="4"/>
      <c r="AQ70" s="54"/>
      <c r="AR70" s="44"/>
      <c r="AS70" s="32"/>
      <c r="AT70" s="4"/>
      <c r="AU70" s="4"/>
      <c r="AV70" s="4"/>
      <c r="AW70" s="55"/>
      <c r="AX70" s="56"/>
      <c r="AY70" s="34"/>
      <c r="AZ70" s="34"/>
      <c r="BA70" s="34"/>
      <c r="BB70" s="34"/>
      <c r="BC70" s="34"/>
      <c r="BD70" s="34"/>
      <c r="BE70" s="34"/>
      <c r="BF70" s="34"/>
      <c r="BG70" s="34"/>
      <c r="BH70" s="34"/>
      <c r="BI70" s="4"/>
      <c r="BJ70" s="4"/>
      <c r="BK70" s="4"/>
      <c r="BS70" s="66"/>
    </row>
    <row r="71" spans="1:151" s="17" customFormat="1" ht="4.5" customHeight="1" x14ac:dyDescent="0.2">
      <c r="A71" s="165">
        <f t="shared" si="3"/>
        <v>1</v>
      </c>
      <c r="B71" s="201"/>
      <c r="C71" s="203"/>
      <c r="D71" s="203"/>
      <c r="E71" s="206"/>
      <c r="F71" s="217"/>
      <c r="G71" s="299"/>
      <c r="H71" s="289"/>
      <c r="I71" s="290"/>
      <c r="J71" s="292"/>
      <c r="K71" s="293"/>
      <c r="L71" s="293"/>
      <c r="M71" s="301"/>
      <c r="N71" s="302"/>
      <c r="O71" s="303"/>
      <c r="P71" s="304"/>
      <c r="Q71" s="203"/>
      <c r="R71" s="124"/>
      <c r="S71" s="4"/>
      <c r="T71" s="4"/>
      <c r="U71" s="4"/>
      <c r="X71" s="71"/>
      <c r="Y71" s="133"/>
      <c r="Z71" s="71"/>
      <c r="AA71" s="129"/>
      <c r="AC71" s="96"/>
      <c r="AD71" s="4"/>
      <c r="AP71" s="4"/>
      <c r="AQ71" s="54"/>
      <c r="AR71" s="44"/>
      <c r="AS71" s="32"/>
      <c r="AT71" s="4"/>
      <c r="AU71" s="4"/>
      <c r="AV71" s="4"/>
      <c r="AW71" s="55"/>
      <c r="AX71" s="56"/>
      <c r="AY71" s="34"/>
      <c r="AZ71" s="34"/>
      <c r="BA71" s="34"/>
      <c r="BB71" s="34"/>
      <c r="BC71" s="34"/>
      <c r="BD71" s="34"/>
      <c r="BE71" s="34"/>
      <c r="BF71" s="34"/>
      <c r="BG71" s="34"/>
      <c r="BH71" s="34"/>
      <c r="BI71" s="4"/>
      <c r="BJ71" s="4"/>
      <c r="BK71" s="4"/>
      <c r="BS71" s="66"/>
    </row>
    <row r="72" spans="1:151" s="17" customFormat="1" ht="17.25" customHeight="1" thickBot="1" x14ac:dyDescent="0.25">
      <c r="A72" s="165">
        <f t="shared" si="3"/>
        <v>1</v>
      </c>
      <c r="B72" s="201" t="s">
        <v>63</v>
      </c>
      <c r="C72" s="203"/>
      <c r="D72" s="203"/>
      <c r="E72" s="132">
        <v>0.47916666666666669</v>
      </c>
      <c r="F72" s="298">
        <f>E72</f>
        <v>0.47916666666666669</v>
      </c>
      <c r="G72" s="288">
        <f>IF(F72=E74,0.9999,IF(E74&lt;F72,(E74+1-F72),(E74-F72)))</f>
        <v>0.14583333333333331</v>
      </c>
      <c r="H72" s="289"/>
      <c r="I72" s="290">
        <f>AH68*BA1</f>
        <v>1.8</v>
      </c>
      <c r="J72" s="292">
        <f>Y70*I72</f>
        <v>1.9486079999999999</v>
      </c>
      <c r="K72" s="293">
        <f>SUM(Z68,Y68)*2</f>
        <v>0.81191999999999998</v>
      </c>
      <c r="L72" s="293">
        <f>Z70-Z68</f>
        <v>0.73072800000000004</v>
      </c>
      <c r="M72" s="289"/>
      <c r="N72" s="305">
        <f>IF(G70&lt;0.135,32,IF(G70&lt;0.1563,30,28))</f>
        <v>28</v>
      </c>
      <c r="O72" s="359" t="s">
        <v>99</v>
      </c>
      <c r="P72" s="359"/>
      <c r="Q72" s="208"/>
      <c r="R72" s="124"/>
      <c r="AP72" s="4"/>
      <c r="AQ72" s="54"/>
      <c r="AR72" s="44"/>
      <c r="AS72" s="32"/>
      <c r="AT72" s="4"/>
      <c r="AU72" s="4"/>
      <c r="AV72" s="4"/>
      <c r="AW72" s="55"/>
      <c r="AX72" s="56"/>
      <c r="AY72" s="34"/>
      <c r="AZ72" s="34"/>
      <c r="BA72" s="34"/>
      <c r="BB72" s="34"/>
      <c r="BC72" s="34"/>
      <c r="BD72" s="34"/>
      <c r="BE72" s="34"/>
      <c r="BF72" s="34"/>
      <c r="BG72" s="34"/>
      <c r="BH72" s="34"/>
      <c r="BI72" s="4"/>
      <c r="BJ72" s="4"/>
      <c r="BK72" s="4"/>
      <c r="BS72" s="66"/>
    </row>
    <row r="73" spans="1:151" s="17" customFormat="1" ht="4.5" customHeight="1" x14ac:dyDescent="0.2">
      <c r="A73" s="165">
        <f t="shared" si="3"/>
        <v>1</v>
      </c>
      <c r="B73" s="201"/>
      <c r="C73" s="203"/>
      <c r="D73" s="203"/>
      <c r="E73" s="134"/>
      <c r="F73" s="203"/>
      <c r="G73" s="299"/>
      <c r="H73" s="289"/>
      <c r="I73" s="290"/>
      <c r="J73" s="306"/>
      <c r="K73" s="307"/>
      <c r="L73" s="308"/>
      <c r="M73" s="289"/>
      <c r="N73" s="309"/>
      <c r="O73" s="310"/>
      <c r="P73" s="310"/>
      <c r="Q73" s="203"/>
      <c r="R73" s="124"/>
      <c r="AC73" s="71"/>
      <c r="AP73" s="4"/>
      <c r="AQ73" s="54"/>
      <c r="AR73" s="44"/>
      <c r="AS73" s="32"/>
      <c r="AT73" s="4"/>
      <c r="AU73" s="4"/>
      <c r="AV73" s="4"/>
      <c r="AW73" s="55"/>
      <c r="AX73" s="56"/>
      <c r="AY73" s="34"/>
      <c r="AZ73" s="34"/>
      <c r="BA73" s="34"/>
      <c r="BB73" s="34"/>
      <c r="BC73" s="34"/>
      <c r="BD73" s="34"/>
      <c r="BE73" s="34"/>
      <c r="BF73" s="34"/>
      <c r="BG73" s="34"/>
      <c r="BH73" s="34"/>
      <c r="BI73" s="4"/>
      <c r="BJ73" s="4"/>
      <c r="BK73" s="4"/>
      <c r="BS73" s="66"/>
    </row>
    <row r="74" spans="1:151" s="17" customFormat="1" ht="17.25" customHeight="1" thickBot="1" x14ac:dyDescent="0.25">
      <c r="A74" s="165">
        <f t="shared" si="3"/>
        <v>1</v>
      </c>
      <c r="B74" s="201" t="s">
        <v>95</v>
      </c>
      <c r="C74" s="203"/>
      <c r="D74" s="203"/>
      <c r="E74" s="131">
        <v>0.625</v>
      </c>
      <c r="F74" s="202"/>
      <c r="G74" s="289"/>
      <c r="H74" s="289"/>
      <c r="I74" s="289"/>
      <c r="J74" s="289"/>
      <c r="K74" s="289"/>
      <c r="L74" s="289"/>
      <c r="M74" s="289"/>
      <c r="N74" s="289"/>
      <c r="O74" s="289"/>
      <c r="P74" s="289"/>
      <c r="Q74" s="203"/>
      <c r="R74" s="124"/>
      <c r="T74" s="82">
        <f>IF(U74&lt;&gt;"",U74,0)</f>
        <v>0</v>
      </c>
      <c r="U74" s="83">
        <f>IF(A66&lt;&gt;1,"",IF(K70&lt;0,101%,M70/SUM(M70,K70)))</f>
        <v>0</v>
      </c>
      <c r="AP74" s="4"/>
      <c r="AQ74" s="54"/>
      <c r="AR74" s="44"/>
      <c r="AS74" s="32"/>
      <c r="AT74" s="4"/>
      <c r="AU74" s="4"/>
      <c r="AV74" s="4"/>
      <c r="AW74" s="55"/>
      <c r="AX74" s="56"/>
      <c r="AY74" s="34"/>
      <c r="AZ74" s="34"/>
      <c r="BA74" s="34"/>
      <c r="BB74" s="34"/>
      <c r="BC74" s="34"/>
      <c r="BD74" s="34"/>
      <c r="BE74" s="34"/>
      <c r="BF74" s="34"/>
      <c r="BG74" s="34"/>
      <c r="BH74" s="34"/>
      <c r="BI74" s="4"/>
      <c r="BJ74" s="4"/>
      <c r="BK74" s="4"/>
      <c r="BS74" s="66"/>
    </row>
    <row r="75" spans="1:151" s="8" customFormat="1" ht="7.5" customHeight="1" x14ac:dyDescent="0.2">
      <c r="A75" s="165">
        <f t="shared" si="3"/>
        <v>1</v>
      </c>
      <c r="B75" s="160"/>
      <c r="C75" s="160"/>
      <c r="D75" s="160"/>
      <c r="E75" s="193"/>
      <c r="F75" s="160"/>
      <c r="G75" s="160"/>
      <c r="H75" s="160"/>
      <c r="I75" s="160"/>
      <c r="J75" s="160"/>
      <c r="K75" s="160"/>
      <c r="L75" s="160"/>
      <c r="M75" s="160"/>
      <c r="N75" s="160"/>
      <c r="O75" s="160"/>
      <c r="P75" s="160"/>
      <c r="Q75" s="160"/>
      <c r="R75" s="63"/>
      <c r="S75" s="17"/>
      <c r="T75" s="17"/>
      <c r="U75" s="17"/>
      <c r="V75" s="4"/>
      <c r="W75" s="17"/>
      <c r="X75" s="17"/>
      <c r="Y75" s="17"/>
      <c r="Z75" s="17"/>
      <c r="AA75" s="17"/>
      <c r="AB75" s="17"/>
      <c r="AC75" s="55"/>
      <c r="AD75" s="17"/>
      <c r="AP75" s="4"/>
      <c r="AQ75" s="54"/>
      <c r="AR75" s="44"/>
      <c r="AS75" s="32"/>
      <c r="AT75" s="4"/>
      <c r="AU75" s="4"/>
      <c r="AV75" s="4"/>
      <c r="AW75" s="55"/>
      <c r="AX75" s="56"/>
      <c r="AY75" s="34"/>
      <c r="AZ75" s="34"/>
      <c r="BA75" s="34"/>
      <c r="BB75" s="34"/>
      <c r="BC75" s="34"/>
      <c r="BD75" s="34"/>
      <c r="BE75" s="34"/>
      <c r="BF75" s="34"/>
      <c r="BG75" s="34"/>
      <c r="BH75" s="34"/>
      <c r="BI75" s="4"/>
      <c r="BJ75" s="4"/>
      <c r="BK75" s="4"/>
      <c r="BL75" s="4"/>
      <c r="BM75" s="4"/>
      <c r="BN75" s="4"/>
      <c r="BO75" s="4"/>
      <c r="BP75" s="4"/>
      <c r="BQ75" s="4"/>
      <c r="BR75" s="4"/>
      <c r="BS75" s="66"/>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row>
    <row r="76" spans="1:151" ht="18" x14ac:dyDescent="0.2">
      <c r="A76" s="165">
        <f t="shared" si="3"/>
        <v>1</v>
      </c>
      <c r="B76" s="84"/>
      <c r="C76" s="160"/>
      <c r="D76" s="160"/>
      <c r="E76" s="286" t="str">
        <f>IF(SUM(F70,E72,E74)=0,"ZEITEN EINGEBEN",IF(OR(OR(G70&lt;0.625,G70&gt;1),OR(G72&lt;0.1041,G72&gt;0.1459)),"ZEITEINGABEN KORRIGIEREN",""))</f>
        <v/>
      </c>
      <c r="F76" s="196"/>
      <c r="G76" s="196"/>
      <c r="H76" s="191"/>
      <c r="I76" s="191"/>
      <c r="J76" s="191"/>
      <c r="K76" s="191"/>
      <c r="L76" s="191"/>
      <c r="M76" s="191"/>
      <c r="N76" s="160"/>
      <c r="O76" s="160"/>
      <c r="P76" s="160"/>
      <c r="Q76" s="160"/>
      <c r="R76" s="63"/>
      <c r="S76" s="17"/>
      <c r="T76" s="17"/>
      <c r="U76" s="17"/>
      <c r="V76" s="17"/>
      <c r="W76" s="17"/>
      <c r="X76" s="17"/>
      <c r="Y76" s="17"/>
      <c r="Z76" s="17"/>
      <c r="AA76" s="17"/>
      <c r="AB76" s="17"/>
      <c r="AD76" s="17"/>
      <c r="AP76" s="4"/>
      <c r="AQ76" s="54"/>
      <c r="AR76" s="44"/>
      <c r="AS76" s="32"/>
      <c r="AT76" s="4"/>
      <c r="AU76" s="4"/>
      <c r="AV76" s="4"/>
      <c r="AW76" s="55"/>
      <c r="AX76" s="56"/>
      <c r="AY76" s="34"/>
      <c r="AZ76" s="34"/>
      <c r="BA76" s="34"/>
      <c r="BB76" s="34"/>
      <c r="BC76" s="34"/>
      <c r="BD76" s="34"/>
      <c r="BE76" s="34"/>
      <c r="BF76" s="34"/>
      <c r="BG76" s="34"/>
      <c r="BH76" s="34"/>
      <c r="BI76" s="4"/>
      <c r="BJ76" s="4"/>
      <c r="BK76" s="4"/>
      <c r="BL76" s="17"/>
      <c r="BM76" s="17"/>
      <c r="BN76" s="17"/>
      <c r="BO76" s="17"/>
      <c r="BP76" s="17"/>
      <c r="BQ76" s="17"/>
      <c r="BR76" s="17"/>
      <c r="BS76" s="66"/>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row>
    <row r="77" spans="1:151" ht="18" x14ac:dyDescent="0.2">
      <c r="A77" s="165">
        <f t="shared" si="3"/>
        <v>1</v>
      </c>
      <c r="B77" s="84"/>
      <c r="C77" s="160"/>
      <c r="D77" s="190"/>
      <c r="E77" s="191"/>
      <c r="F77" s="188"/>
      <c r="G77" s="191"/>
      <c r="H77" s="191"/>
      <c r="I77" s="191"/>
      <c r="J77" s="191"/>
      <c r="K77" s="191"/>
      <c r="L77" s="191"/>
      <c r="M77" s="191"/>
      <c r="N77" s="160"/>
      <c r="O77" s="160"/>
      <c r="P77" s="160"/>
      <c r="Q77" s="160"/>
      <c r="R77" s="63"/>
      <c r="S77" s="17"/>
      <c r="T77" s="17"/>
      <c r="U77" s="17"/>
      <c r="V77" s="17"/>
      <c r="W77" s="17"/>
      <c r="X77" s="17"/>
      <c r="Y77" s="17"/>
      <c r="Z77" s="17"/>
      <c r="AA77" s="17"/>
      <c r="AB77" s="17"/>
      <c r="AC77" s="17"/>
      <c r="AD77" s="17"/>
      <c r="AP77" s="4"/>
      <c r="AQ77" s="54"/>
      <c r="AR77" s="44"/>
      <c r="AS77" s="32"/>
      <c r="AT77" s="4"/>
      <c r="AU77" s="4"/>
      <c r="AV77" s="4"/>
      <c r="AW77" s="55"/>
      <c r="AX77" s="56"/>
      <c r="AY77" s="34"/>
      <c r="AZ77" s="34"/>
      <c r="BA77" s="34"/>
      <c r="BB77" s="34"/>
      <c r="BC77" s="34"/>
      <c r="BD77" s="34"/>
      <c r="BE77" s="34"/>
      <c r="BF77" s="34"/>
      <c r="BG77" s="34"/>
      <c r="BH77" s="34"/>
      <c r="BI77" s="4"/>
      <c r="BJ77" s="4"/>
      <c r="BK77" s="4"/>
      <c r="BL77" s="17"/>
      <c r="BM77" s="17"/>
      <c r="BN77" s="17"/>
      <c r="BO77" s="17"/>
      <c r="BP77" s="17"/>
      <c r="BQ77" s="17"/>
      <c r="BR77" s="17"/>
      <c r="BS77" s="66"/>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row>
    <row r="78" spans="1:151" ht="18" x14ac:dyDescent="0.2">
      <c r="A78" s="165">
        <f t="shared" si="3"/>
        <v>1</v>
      </c>
      <c r="B78" s="98"/>
      <c r="C78" s="218"/>
      <c r="D78" s="218"/>
      <c r="E78" s="160"/>
      <c r="F78" s="216"/>
      <c r="G78" s="216"/>
      <c r="H78" s="144"/>
      <c r="I78" s="144"/>
      <c r="J78" s="144"/>
      <c r="K78" s="144"/>
      <c r="L78" s="160"/>
      <c r="M78" s="144"/>
      <c r="N78" s="160"/>
      <c r="O78" s="160"/>
      <c r="P78" s="160"/>
      <c r="Q78" s="160"/>
      <c r="R78" s="63"/>
      <c r="S78" s="17"/>
      <c r="T78" s="17"/>
      <c r="U78" s="17"/>
      <c r="V78" s="17"/>
      <c r="W78" s="17"/>
      <c r="X78" s="17"/>
      <c r="Y78" s="17"/>
      <c r="Z78" s="17"/>
      <c r="AA78" s="17"/>
      <c r="AB78" s="17"/>
      <c r="AC78" s="17"/>
      <c r="AD78" s="17"/>
      <c r="AP78" s="4"/>
      <c r="AQ78" s="54"/>
      <c r="AR78" s="44"/>
      <c r="AS78" s="32"/>
      <c r="AT78" s="4"/>
      <c r="AU78" s="4"/>
      <c r="AV78" s="4"/>
      <c r="AW78" s="55"/>
      <c r="AX78" s="56"/>
      <c r="AY78" s="34"/>
      <c r="AZ78" s="34"/>
      <c r="BA78" s="34"/>
      <c r="BB78" s="34"/>
      <c r="BC78" s="34"/>
      <c r="BD78" s="34"/>
      <c r="BE78" s="34"/>
      <c r="BF78" s="34"/>
      <c r="BG78" s="34"/>
      <c r="BH78" s="34"/>
      <c r="BI78" s="4"/>
      <c r="BJ78" s="4"/>
      <c r="BK78" s="4"/>
      <c r="BL78" s="17"/>
      <c r="BM78" s="17"/>
      <c r="BN78" s="17"/>
      <c r="BO78" s="17"/>
      <c r="BP78" s="17"/>
      <c r="BQ78" s="17"/>
      <c r="BR78" s="17"/>
      <c r="BS78" s="66"/>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row>
    <row r="79" spans="1:151" ht="18" hidden="1" x14ac:dyDescent="0.25">
      <c r="A79" s="165">
        <f t="shared" ref="A79:A92" si="4">IF(SAUERKÜRZEL=$B$79,1,0)</f>
        <v>0</v>
      </c>
      <c r="B79" s="357" t="s">
        <v>26</v>
      </c>
      <c r="C79" s="144"/>
      <c r="D79" s="144"/>
      <c r="E79" s="259" t="s">
        <v>1</v>
      </c>
      <c r="F79" s="169"/>
      <c r="G79" s="144"/>
      <c r="H79" s="144"/>
      <c r="I79" s="144"/>
      <c r="J79" s="144"/>
      <c r="K79" s="144"/>
      <c r="L79" s="160"/>
      <c r="M79" s="144"/>
      <c r="N79" s="161"/>
      <c r="O79" s="161"/>
      <c r="P79" s="160"/>
      <c r="Q79" s="160"/>
      <c r="R79" s="63"/>
      <c r="S79" s="17"/>
      <c r="T79" s="17"/>
      <c r="U79" s="17"/>
      <c r="V79" s="17"/>
      <c r="W79" s="17"/>
      <c r="X79" s="65"/>
      <c r="Y79" s="65"/>
      <c r="Z79" s="65"/>
      <c r="AA79" s="65"/>
      <c r="AB79" s="17"/>
      <c r="AC79" s="17"/>
      <c r="AD79" s="17"/>
      <c r="AP79" s="4"/>
      <c r="AQ79" s="54"/>
      <c r="AR79" s="44"/>
      <c r="AS79" s="32"/>
      <c r="AT79" s="4"/>
      <c r="AU79" s="4"/>
      <c r="AV79" s="4"/>
      <c r="AW79" s="55"/>
      <c r="AX79" s="56"/>
      <c r="AY79" s="34"/>
      <c r="AZ79" s="34"/>
      <c r="BA79" s="34"/>
      <c r="BB79" s="34"/>
      <c r="BC79" s="34"/>
      <c r="BD79" s="34"/>
      <c r="BE79" s="34"/>
      <c r="BF79" s="34"/>
      <c r="BG79" s="34"/>
      <c r="BH79" s="34"/>
      <c r="BI79" s="4"/>
      <c r="BJ79" s="4"/>
      <c r="BK79" s="4"/>
      <c r="BL79" s="17"/>
      <c r="BM79" s="17"/>
      <c r="BN79" s="17"/>
      <c r="BO79" s="17"/>
      <c r="BP79" s="17"/>
      <c r="BQ79" s="17"/>
      <c r="BR79" s="17"/>
      <c r="BS79" s="66"/>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row>
    <row r="80" spans="1:151" ht="86.25" hidden="1" customHeight="1" x14ac:dyDescent="0.2">
      <c r="A80" s="165">
        <f t="shared" si="4"/>
        <v>0</v>
      </c>
      <c r="B80" s="357"/>
      <c r="C80" s="160"/>
      <c r="D80" s="160"/>
      <c r="E80" s="170" t="s">
        <v>48</v>
      </c>
      <c r="F80" s="170" t="s">
        <v>96</v>
      </c>
      <c r="G80" s="170" t="s">
        <v>49</v>
      </c>
      <c r="H80" s="160"/>
      <c r="I80" s="172" t="s">
        <v>52</v>
      </c>
      <c r="J80" s="170" t="s">
        <v>54</v>
      </c>
      <c r="K80" s="170" t="s">
        <v>56</v>
      </c>
      <c r="L80" s="170" t="s">
        <v>57</v>
      </c>
      <c r="M80" s="170" t="s">
        <v>45</v>
      </c>
      <c r="N80" s="170" t="s">
        <v>58</v>
      </c>
      <c r="O80" s="257" t="s">
        <v>59</v>
      </c>
      <c r="P80" s="226"/>
      <c r="Q80" s="160"/>
      <c r="R80" s="99"/>
      <c r="S80" s="17"/>
      <c r="T80" s="17"/>
      <c r="W80" s="17"/>
      <c r="X80" s="65" t="s">
        <v>50</v>
      </c>
      <c r="Y80" s="100" t="s">
        <v>93</v>
      </c>
      <c r="Z80" s="65" t="s">
        <v>53</v>
      </c>
      <c r="AA80" s="65" t="s">
        <v>55</v>
      </c>
      <c r="AB80" s="101"/>
      <c r="AC80" s="17"/>
      <c r="AD80" s="17"/>
      <c r="AP80" s="4"/>
      <c r="AQ80" s="54"/>
      <c r="AR80" s="44"/>
      <c r="AS80" s="32"/>
      <c r="AT80" s="4"/>
      <c r="AU80" s="4"/>
      <c r="AV80" s="4"/>
      <c r="AW80" s="55"/>
      <c r="AX80" s="56"/>
      <c r="AY80" s="34"/>
      <c r="AZ80" s="34"/>
      <c r="BA80" s="34"/>
      <c r="BB80" s="34"/>
      <c r="BC80" s="34"/>
      <c r="BD80" s="34"/>
      <c r="BE80" s="34"/>
      <c r="BF80" s="34"/>
      <c r="BG80" s="34"/>
      <c r="BH80" s="34"/>
      <c r="BI80" s="4"/>
      <c r="BJ80" s="4"/>
      <c r="BK80" s="4"/>
      <c r="BL80" s="17"/>
      <c r="BM80" s="17"/>
      <c r="BN80" s="17"/>
      <c r="BO80" s="17"/>
      <c r="BP80" s="17"/>
      <c r="BQ80" s="17"/>
      <c r="BR80" s="17"/>
      <c r="BS80" s="66"/>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row>
    <row r="81" spans="1:151" ht="9" hidden="1" customHeight="1" thickBot="1" x14ac:dyDescent="0.25">
      <c r="A81" s="165">
        <f t="shared" si="4"/>
        <v>0</v>
      </c>
      <c r="B81" s="48"/>
      <c r="C81" s="160"/>
      <c r="D81" s="160"/>
      <c r="E81" s="144"/>
      <c r="F81" s="160"/>
      <c r="G81" s="144"/>
      <c r="H81" s="160"/>
      <c r="I81" s="169"/>
      <c r="J81" s="144"/>
      <c r="K81" s="144"/>
      <c r="L81" s="144"/>
      <c r="M81" s="160"/>
      <c r="N81" s="144"/>
      <c r="O81" s="160"/>
      <c r="P81" s="160"/>
      <c r="Q81" s="160"/>
      <c r="R81" s="63"/>
      <c r="S81" s="17"/>
      <c r="T81" s="17"/>
      <c r="U81" s="17"/>
      <c r="V81" s="17"/>
      <c r="W81" s="17"/>
      <c r="X81" s="65"/>
      <c r="Y81" s="65"/>
      <c r="Z81" s="65"/>
      <c r="AA81" s="65"/>
      <c r="AB81" s="101"/>
      <c r="AD81" s="17"/>
      <c r="AP81" s="4"/>
      <c r="AQ81" s="54"/>
      <c r="AR81" s="44"/>
      <c r="AS81" s="32"/>
      <c r="AT81" s="4"/>
      <c r="AU81" s="4"/>
      <c r="AV81" s="4"/>
      <c r="AW81" s="55"/>
      <c r="AX81" s="56"/>
      <c r="AY81" s="34"/>
      <c r="AZ81" s="34"/>
      <c r="BA81" s="34"/>
      <c r="BB81" s="34"/>
      <c r="BC81" s="34"/>
      <c r="BD81" s="34"/>
      <c r="BE81" s="34"/>
      <c r="BF81" s="34"/>
      <c r="BG81" s="34"/>
      <c r="BH81" s="34"/>
      <c r="BI81" s="4"/>
      <c r="BJ81" s="4"/>
      <c r="BK81" s="4"/>
      <c r="BL81" s="17"/>
      <c r="BM81" s="17"/>
      <c r="BN81" s="17"/>
      <c r="BO81" s="17"/>
      <c r="BP81" s="17"/>
      <c r="BQ81" s="17"/>
      <c r="BR81" s="17"/>
      <c r="BS81" s="66"/>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row>
    <row r="82" spans="1:151" s="17" customFormat="1" ht="18.75" hidden="1" thickBot="1" x14ac:dyDescent="0.25">
      <c r="A82" s="165">
        <f t="shared" si="4"/>
        <v>0</v>
      </c>
      <c r="B82" s="126" t="s">
        <v>60</v>
      </c>
      <c r="C82" s="203"/>
      <c r="D82" s="203"/>
      <c r="E82" s="203"/>
      <c r="F82" s="203"/>
      <c r="G82" s="289"/>
      <c r="H82" s="289"/>
      <c r="I82" s="290">
        <v>2</v>
      </c>
      <c r="J82" s="292">
        <f>SUM(AG82,AJ82)*0.0208</f>
        <v>2.2964324324324326E-2</v>
      </c>
      <c r="K82" s="311"/>
      <c r="L82" s="289"/>
      <c r="M82" s="289"/>
      <c r="N82" s="289"/>
      <c r="O82" s="289"/>
      <c r="P82" s="289"/>
      <c r="Q82" s="203"/>
      <c r="R82" s="124"/>
      <c r="U82" s="127">
        <v>10.5</v>
      </c>
      <c r="V82" s="128">
        <v>4</v>
      </c>
      <c r="Y82" s="129"/>
      <c r="AB82" s="21"/>
      <c r="AF82" s="130">
        <f>$AR$5</f>
        <v>1</v>
      </c>
      <c r="AG82" s="92">
        <f>AF82*1.05</f>
        <v>1.05</v>
      </c>
      <c r="AH82" s="93">
        <v>1.85</v>
      </c>
      <c r="AI82" s="95">
        <f>E12</f>
        <v>0.1</v>
      </c>
      <c r="AJ82" s="95">
        <f>AI82/AH82</f>
        <v>5.4054054054054057E-2</v>
      </c>
      <c r="AK82" s="95">
        <f>AI82-AJ82</f>
        <v>4.5945945945945948E-2</v>
      </c>
      <c r="AP82" s="4"/>
      <c r="AQ82" s="54"/>
      <c r="AR82" s="44"/>
      <c r="AS82" s="32"/>
      <c r="AT82" s="4"/>
      <c r="AU82" s="4"/>
      <c r="AV82" s="4"/>
      <c r="AW82" s="55"/>
      <c r="AX82" s="56"/>
      <c r="AY82" s="34"/>
      <c r="AZ82" s="34"/>
      <c r="BA82" s="34"/>
      <c r="BB82" s="34"/>
      <c r="BC82" s="34"/>
      <c r="BD82" s="34"/>
      <c r="BE82" s="34"/>
      <c r="BF82" s="34"/>
      <c r="BG82" s="34"/>
      <c r="BH82" s="34"/>
      <c r="BI82" s="4"/>
      <c r="BJ82" s="4"/>
      <c r="BK82" s="4"/>
      <c r="BS82" s="66"/>
    </row>
    <row r="83" spans="1:151" s="17" customFormat="1" ht="4.5" hidden="1" customHeight="1" x14ac:dyDescent="0.2">
      <c r="A83" s="165">
        <f t="shared" si="4"/>
        <v>0</v>
      </c>
      <c r="B83" s="126"/>
      <c r="C83" s="203"/>
      <c r="D83" s="203"/>
      <c r="E83" s="203"/>
      <c r="F83" s="206"/>
      <c r="G83" s="289"/>
      <c r="H83" s="289"/>
      <c r="I83" s="290"/>
      <c r="J83" s="306"/>
      <c r="K83" s="311"/>
      <c r="L83" s="289"/>
      <c r="M83" s="289"/>
      <c r="N83" s="289"/>
      <c r="O83" s="289"/>
      <c r="P83" s="289"/>
      <c r="Q83" s="203"/>
      <c r="R83" s="124"/>
      <c r="Y83" s="129"/>
      <c r="AB83" s="21"/>
      <c r="AP83" s="4"/>
      <c r="AQ83" s="54"/>
      <c r="AR83" s="44"/>
      <c r="AS83" s="32"/>
      <c r="AT83" s="4"/>
      <c r="AU83" s="4"/>
      <c r="AV83" s="4"/>
      <c r="AW83" s="55"/>
      <c r="AX83" s="56"/>
      <c r="AY83" s="34"/>
      <c r="AZ83" s="34"/>
      <c r="BA83" s="34"/>
      <c r="BB83" s="34"/>
      <c r="BC83" s="34"/>
      <c r="BD83" s="34"/>
      <c r="BE83" s="34"/>
      <c r="BF83" s="34"/>
      <c r="BG83" s="34"/>
      <c r="BH83" s="34"/>
      <c r="BI83" s="4"/>
      <c r="BJ83" s="4"/>
      <c r="BK83" s="4"/>
      <c r="BS83" s="66"/>
    </row>
    <row r="84" spans="1:151" s="17" customFormat="1" ht="17.25" hidden="1" customHeight="1" thickBot="1" x14ac:dyDescent="0.25">
      <c r="A84" s="165">
        <f t="shared" si="4"/>
        <v>0</v>
      </c>
      <c r="B84" s="126" t="s">
        <v>62</v>
      </c>
      <c r="C84" s="203"/>
      <c r="D84" s="203"/>
      <c r="E84" s="203"/>
      <c r="F84" s="131"/>
      <c r="G84" s="288">
        <f>IF(F84=E86,0.9999,IF(E86&lt;F84,(E86+1-F84),(E86-F84)))</f>
        <v>0.99990000000000001</v>
      </c>
      <c r="H84" s="289"/>
      <c r="I84" s="290">
        <f>1.5*BA1</f>
        <v>1.5</v>
      </c>
      <c r="J84" s="292">
        <f>Y84*I84</f>
        <v>0.41335783783783786</v>
      </c>
      <c r="K84" s="293">
        <f>12*J82-M84</f>
        <v>0.27557189189189191</v>
      </c>
      <c r="L84" s="293">
        <f>J84-SUM(K84,M84)</f>
        <v>0.13778594594594595</v>
      </c>
      <c r="M84" s="292">
        <f>$AU$6</f>
        <v>0</v>
      </c>
      <c r="N84" s="300" t="s">
        <v>16</v>
      </c>
      <c r="O84" s="360" t="s">
        <v>98</v>
      </c>
      <c r="P84" s="360"/>
      <c r="Q84" s="203"/>
      <c r="R84" s="136"/>
      <c r="X84" s="71">
        <f>IF(G84&lt;0.125,(G84*23),IF(G84&lt;0.209,(G84*27),IF(G84&lt;0.288,(G84*29),IF(G84&lt;0.375,(G84*31),(G84*33)))))</f>
        <v>32.996699999999997</v>
      </c>
      <c r="Y84" s="129">
        <f>M84+K84</f>
        <v>0.27557189189189191</v>
      </c>
      <c r="Z84" s="71">
        <f>L82+L84</f>
        <v>0.13778594594594595</v>
      </c>
      <c r="AA84" s="129">
        <f>J82</f>
        <v>2.2964324324324326E-2</v>
      </c>
      <c r="AB84" s="21"/>
      <c r="AC84" s="71"/>
      <c r="AP84" s="4"/>
      <c r="AQ84" s="54"/>
      <c r="AR84" s="44"/>
      <c r="AS84" s="32"/>
      <c r="AT84" s="4"/>
      <c r="AU84" s="4"/>
      <c r="AV84" s="4"/>
      <c r="AW84" s="55"/>
      <c r="AX84" s="56"/>
      <c r="AY84" s="34"/>
      <c r="AZ84" s="34"/>
      <c r="BA84" s="34"/>
      <c r="BB84" s="34"/>
      <c r="BC84" s="34"/>
      <c r="BD84" s="34"/>
      <c r="BE84" s="34"/>
      <c r="BF84" s="34"/>
      <c r="BG84" s="34"/>
      <c r="BH84" s="34"/>
      <c r="BI84" s="4"/>
      <c r="BJ84" s="4"/>
      <c r="BK84" s="4"/>
      <c r="BS84" s="66"/>
    </row>
    <row r="85" spans="1:151" s="17" customFormat="1" ht="4.5" hidden="1" customHeight="1" x14ac:dyDescent="0.2">
      <c r="A85" s="165">
        <f t="shared" si="4"/>
        <v>0</v>
      </c>
      <c r="B85" s="126"/>
      <c r="C85" s="203"/>
      <c r="D85" s="203"/>
      <c r="E85" s="206"/>
      <c r="F85" s="217"/>
      <c r="G85" s="299"/>
      <c r="H85" s="289"/>
      <c r="I85" s="290"/>
      <c r="J85" s="292"/>
      <c r="K85" s="293"/>
      <c r="L85" s="293"/>
      <c r="M85" s="292"/>
      <c r="N85" s="302"/>
      <c r="O85" s="303"/>
      <c r="P85" s="303"/>
      <c r="Q85" s="203"/>
      <c r="R85" s="136"/>
      <c r="X85" s="71"/>
      <c r="Y85" s="129"/>
      <c r="Z85" s="71"/>
      <c r="AA85" s="129"/>
      <c r="AB85" s="21"/>
      <c r="AP85" s="4"/>
      <c r="AQ85" s="54"/>
      <c r="AR85" s="44"/>
      <c r="AS85" s="32"/>
      <c r="AT85" s="4"/>
      <c r="AU85" s="4"/>
      <c r="AV85" s="4"/>
      <c r="AW85" s="55"/>
      <c r="AX85" s="56"/>
      <c r="AY85" s="34"/>
      <c r="AZ85" s="34"/>
      <c r="BA85" s="34"/>
      <c r="BB85" s="34"/>
      <c r="BC85" s="34"/>
      <c r="BD85" s="34"/>
      <c r="BE85" s="34"/>
      <c r="BF85" s="34"/>
      <c r="BG85" s="34"/>
      <c r="BH85" s="34"/>
      <c r="BI85" s="4"/>
      <c r="BJ85" s="4"/>
      <c r="BK85" s="4"/>
      <c r="BS85" s="66"/>
    </row>
    <row r="86" spans="1:151" s="17" customFormat="1" ht="17.25" hidden="1" customHeight="1" thickBot="1" x14ac:dyDescent="0.25">
      <c r="A86" s="165">
        <f t="shared" si="4"/>
        <v>0</v>
      </c>
      <c r="B86" s="126" t="s">
        <v>63</v>
      </c>
      <c r="C86" s="203"/>
      <c r="D86" s="203"/>
      <c r="E86" s="132"/>
      <c r="F86" s="298">
        <f>E86</f>
        <v>0</v>
      </c>
      <c r="G86" s="288">
        <f>IF(F86=E88,0.9999,IF(E88&lt;F86,(E88+1-F86),(E88-F86)))</f>
        <v>0.99990000000000001</v>
      </c>
      <c r="H86" s="289"/>
      <c r="I86" s="290">
        <f>AH82*BA1</f>
        <v>1.85</v>
      </c>
      <c r="J86" s="292">
        <f>Y86*I86</f>
        <v>2.0392320000000002</v>
      </c>
      <c r="K86" s="293">
        <f>SUM(Z84,Y84)*2</f>
        <v>0.82671567567567572</v>
      </c>
      <c r="L86" s="293">
        <f>Z86-Z84</f>
        <v>0.79915848648648657</v>
      </c>
      <c r="M86" s="292"/>
      <c r="N86" s="305">
        <f>IF(G86&lt;0.135,32,IF(G86&lt;0.1563,30,28))</f>
        <v>28</v>
      </c>
      <c r="O86" s="360" t="s">
        <v>21</v>
      </c>
      <c r="P86" s="360"/>
      <c r="Q86" s="203"/>
      <c r="R86" s="124"/>
      <c r="X86" s="71">
        <f>IF(G86&lt;0.125,(G86*23),IF(G86&lt;0.209,(G86*25),IF(G86&lt;0.288,(G86*29),IF(G86&lt;0.375,(G86*31),(G86*33)))))</f>
        <v>32.996699999999997</v>
      </c>
      <c r="Y86" s="133">
        <f>SUM(Y84,K86)</f>
        <v>1.1022875675675676</v>
      </c>
      <c r="Z86" s="71">
        <f>Y86*(I86-1)</f>
        <v>0.93694443243243253</v>
      </c>
      <c r="AA86" s="129">
        <f>SUM(K84:L84)</f>
        <v>0.41335783783783786</v>
      </c>
      <c r="AB86" s="21"/>
      <c r="AC86" s="96"/>
      <c r="AP86" s="4"/>
      <c r="AQ86" s="54"/>
      <c r="AR86" s="44"/>
      <c r="AS86" s="32"/>
      <c r="AT86" s="4"/>
      <c r="AU86" s="4"/>
      <c r="AV86" s="4"/>
      <c r="AW86" s="55"/>
      <c r="AX86" s="56"/>
      <c r="AY86" s="34"/>
      <c r="AZ86" s="34"/>
      <c r="BA86" s="34"/>
      <c r="BB86" s="34"/>
      <c r="BC86" s="34"/>
      <c r="BD86" s="34"/>
      <c r="BE86" s="34"/>
      <c r="BF86" s="34"/>
      <c r="BG86" s="34"/>
      <c r="BH86" s="34"/>
      <c r="BI86" s="4"/>
      <c r="BJ86" s="4"/>
      <c r="BK86" s="4"/>
      <c r="BS86" s="66"/>
    </row>
    <row r="87" spans="1:151" ht="4.5" hidden="1" customHeight="1" x14ac:dyDescent="0.2">
      <c r="A87" s="165">
        <f t="shared" si="4"/>
        <v>0</v>
      </c>
      <c r="B87" s="110"/>
      <c r="C87" s="160"/>
      <c r="D87" s="160"/>
      <c r="E87" s="80"/>
      <c r="F87" s="160"/>
      <c r="G87" s="279"/>
      <c r="H87" s="264"/>
      <c r="I87" s="280"/>
      <c r="J87" s="281"/>
      <c r="K87" s="312"/>
      <c r="L87" s="313"/>
      <c r="M87" s="264"/>
      <c r="N87" s="314"/>
      <c r="O87" s="315"/>
      <c r="P87" s="316"/>
      <c r="Q87" s="160"/>
      <c r="R87" s="63"/>
      <c r="S87" s="4"/>
      <c r="T87" s="4"/>
      <c r="U87" s="4"/>
      <c r="V87" s="17"/>
      <c r="W87" s="17"/>
      <c r="X87" s="4"/>
      <c r="Y87" s="4"/>
      <c r="Z87" s="4"/>
      <c r="AA87" s="4"/>
      <c r="AB87" s="21"/>
      <c r="AD87" s="4"/>
      <c r="AP87" s="4"/>
      <c r="AQ87" s="54"/>
      <c r="AR87" s="44"/>
      <c r="AS87" s="32"/>
      <c r="AT87" s="4"/>
      <c r="AU87" s="4"/>
      <c r="AV87" s="4"/>
      <c r="AW87" s="55"/>
      <c r="AX87" s="56"/>
      <c r="AY87" s="34"/>
      <c r="AZ87" s="34"/>
      <c r="BA87" s="34"/>
      <c r="BB87" s="34"/>
      <c r="BC87" s="34"/>
      <c r="BD87" s="34"/>
      <c r="BE87" s="34"/>
      <c r="BF87" s="34"/>
      <c r="BG87" s="34"/>
      <c r="BH87" s="34"/>
      <c r="BI87" s="4"/>
      <c r="BJ87" s="4"/>
      <c r="BK87" s="4"/>
      <c r="BL87" s="17"/>
      <c r="BM87" s="17"/>
      <c r="BN87" s="17"/>
      <c r="BO87" s="17"/>
      <c r="BP87" s="17"/>
      <c r="BQ87" s="17"/>
      <c r="BR87" s="17"/>
      <c r="BS87" s="66"/>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row>
    <row r="88" spans="1:151" ht="17.25" hidden="1" customHeight="1" thickBot="1" x14ac:dyDescent="0.25">
      <c r="A88" s="165">
        <f t="shared" si="4"/>
        <v>0</v>
      </c>
      <c r="B88" s="110" t="s">
        <v>95</v>
      </c>
      <c r="C88" s="193"/>
      <c r="D88" s="179"/>
      <c r="E88" s="72"/>
      <c r="F88" s="179"/>
      <c r="G88" s="264"/>
      <c r="H88" s="264"/>
      <c r="I88" s="280"/>
      <c r="J88" s="281"/>
      <c r="K88" s="312"/>
      <c r="L88" s="313"/>
      <c r="M88" s="264"/>
      <c r="N88" s="314"/>
      <c r="O88" s="316"/>
      <c r="P88" s="316"/>
      <c r="Q88" s="160"/>
      <c r="R88" s="63"/>
      <c r="S88" s="17"/>
      <c r="T88" s="82">
        <f>IF(U88&lt;&gt;"",U88,0)</f>
        <v>0</v>
      </c>
      <c r="U88" s="83" t="str">
        <f>IF(A80&lt;&gt;1,"",IF(K84&lt;0,101%,M84/SUM(M84,K84)))</f>
        <v/>
      </c>
      <c r="V88" s="17"/>
      <c r="W88" s="17"/>
      <c r="X88" s="17"/>
      <c r="Y88" s="17"/>
      <c r="Z88" s="17"/>
      <c r="AA88" s="17"/>
      <c r="AB88" s="21"/>
      <c r="AC88" s="71"/>
      <c r="AD88" s="17"/>
      <c r="AP88" s="4"/>
      <c r="AQ88" s="54"/>
      <c r="AR88" s="44"/>
      <c r="AS88" s="32"/>
      <c r="AT88" s="4"/>
      <c r="AU88" s="4"/>
      <c r="AV88" s="4"/>
      <c r="AW88" s="55"/>
      <c r="AX88" s="56"/>
      <c r="AY88" s="34"/>
      <c r="AZ88" s="34"/>
      <c r="BA88" s="34"/>
      <c r="BB88" s="34"/>
      <c r="BC88" s="34"/>
      <c r="BD88" s="34"/>
      <c r="BE88" s="34"/>
      <c r="BF88" s="34"/>
      <c r="BG88" s="34"/>
      <c r="BH88" s="34"/>
      <c r="BI88" s="4"/>
      <c r="BJ88" s="4"/>
      <c r="BK88" s="4"/>
      <c r="BL88" s="17"/>
      <c r="BM88" s="17"/>
      <c r="BN88" s="17"/>
      <c r="BO88" s="17"/>
      <c r="BP88" s="17"/>
      <c r="BQ88" s="17"/>
      <c r="BR88" s="17"/>
      <c r="BS88" s="66"/>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row>
    <row r="89" spans="1:151" ht="8.25" hidden="1" customHeight="1" x14ac:dyDescent="0.2">
      <c r="A89" s="165">
        <f t="shared" si="4"/>
        <v>0</v>
      </c>
      <c r="B89" s="48"/>
      <c r="C89" s="160"/>
      <c r="D89" s="160"/>
      <c r="E89" s="160"/>
      <c r="F89" s="160"/>
      <c r="G89" s="160"/>
      <c r="H89" s="160"/>
      <c r="I89" s="160"/>
      <c r="J89" s="160"/>
      <c r="K89" s="160"/>
      <c r="L89" s="160"/>
      <c r="M89" s="160"/>
      <c r="N89" s="160"/>
      <c r="O89" s="160"/>
      <c r="P89" s="160"/>
      <c r="Q89" s="160"/>
      <c r="R89" s="63"/>
      <c r="S89" s="17"/>
      <c r="T89" s="17"/>
      <c r="U89" s="17"/>
      <c r="V89" s="17"/>
      <c r="W89" s="17"/>
      <c r="X89" s="17"/>
      <c r="Y89" s="17"/>
      <c r="Z89" s="17"/>
      <c r="AA89" s="17"/>
      <c r="AB89" s="101"/>
      <c r="AD89" s="17"/>
      <c r="AP89" s="4"/>
      <c r="AQ89" s="54"/>
      <c r="AR89" s="44"/>
      <c r="AS89" s="32"/>
      <c r="AT89" s="4"/>
      <c r="AU89" s="4"/>
      <c r="AV89" s="4"/>
      <c r="AW89" s="55"/>
      <c r="AX89" s="56"/>
      <c r="AY89" s="34"/>
      <c r="AZ89" s="34"/>
      <c r="BA89" s="34"/>
      <c r="BB89" s="34"/>
      <c r="BC89" s="34"/>
      <c r="BD89" s="34"/>
      <c r="BE89" s="34"/>
      <c r="BF89" s="34"/>
      <c r="BG89" s="34"/>
      <c r="BH89" s="34"/>
      <c r="BI89" s="4"/>
      <c r="BJ89" s="4"/>
      <c r="BK89" s="4"/>
      <c r="BL89" s="17"/>
      <c r="BM89" s="17"/>
      <c r="BN89" s="17"/>
      <c r="BO89" s="17"/>
      <c r="BP89" s="17"/>
      <c r="BQ89" s="17"/>
      <c r="BR89" s="17"/>
      <c r="BS89" s="66"/>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row>
    <row r="90" spans="1:151" ht="18" hidden="1" x14ac:dyDescent="0.2">
      <c r="A90" s="165">
        <f t="shared" si="4"/>
        <v>0</v>
      </c>
      <c r="B90" s="84"/>
      <c r="C90" s="191"/>
      <c r="D90" s="160"/>
      <c r="E90" s="286" t="str">
        <f>IF(SUM(F84,E86,E88)=0,"ZEITEN EINGEBEN",IF(OR(OR(G84&lt;0.625,G84&gt;1),OR(G86&lt;0.125,G86&gt;0.16667)),"ZEITEINGABEN KORRIGIEREN",""))</f>
        <v>ZEITEN EINGEBEN</v>
      </c>
      <c r="F90" s="196"/>
      <c r="G90" s="196"/>
      <c r="H90" s="191"/>
      <c r="I90" s="191"/>
      <c r="J90" s="160"/>
      <c r="K90" s="191"/>
      <c r="L90" s="191"/>
      <c r="M90" s="191"/>
      <c r="N90" s="160"/>
      <c r="O90" s="160"/>
      <c r="P90" s="160"/>
      <c r="Q90" s="160"/>
      <c r="R90" s="63"/>
      <c r="S90" s="17"/>
      <c r="T90" s="17"/>
      <c r="U90" s="17"/>
      <c r="V90" s="17"/>
      <c r="W90" s="17"/>
      <c r="X90" s="17"/>
      <c r="Y90" s="17"/>
      <c r="Z90" s="17"/>
      <c r="AA90" s="17"/>
      <c r="AB90" s="101"/>
      <c r="AD90" s="17"/>
      <c r="AP90" s="4"/>
      <c r="AQ90" s="54"/>
      <c r="AR90" s="44"/>
      <c r="AS90" s="32"/>
      <c r="AT90" s="4"/>
      <c r="AU90" s="4"/>
      <c r="AV90" s="4"/>
      <c r="AW90" s="55"/>
      <c r="AX90" s="56"/>
      <c r="AY90" s="34"/>
      <c r="AZ90" s="34"/>
      <c r="BA90" s="34"/>
      <c r="BB90" s="34"/>
      <c r="BC90" s="34"/>
      <c r="BD90" s="34"/>
      <c r="BE90" s="34"/>
      <c r="BF90" s="34"/>
      <c r="BG90" s="34"/>
      <c r="BH90" s="34"/>
      <c r="BI90" s="4"/>
      <c r="BJ90" s="4"/>
      <c r="BK90" s="4"/>
      <c r="BL90" s="17"/>
      <c r="BM90" s="17"/>
      <c r="BN90" s="17"/>
      <c r="BO90" s="17"/>
      <c r="BP90" s="17"/>
      <c r="BQ90" s="17"/>
      <c r="BR90" s="17"/>
      <c r="BS90" s="66"/>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row>
    <row r="91" spans="1:151" ht="18" hidden="1" x14ac:dyDescent="0.2">
      <c r="A91" s="165">
        <f t="shared" si="4"/>
        <v>0</v>
      </c>
      <c r="B91" s="84"/>
      <c r="C91" s="191"/>
      <c r="D91" s="160"/>
      <c r="E91" s="196"/>
      <c r="F91" s="196"/>
      <c r="G91" s="196"/>
      <c r="H91" s="191"/>
      <c r="I91" s="191"/>
      <c r="J91" s="160"/>
      <c r="K91" s="191"/>
      <c r="L91" s="191"/>
      <c r="M91" s="191"/>
      <c r="N91" s="160"/>
      <c r="O91" s="160"/>
      <c r="P91" s="160"/>
      <c r="Q91" s="160"/>
      <c r="R91" s="63"/>
      <c r="S91" s="17"/>
      <c r="T91" s="17"/>
      <c r="U91" s="17"/>
      <c r="V91" s="17"/>
      <c r="W91" s="17"/>
      <c r="X91" s="17"/>
      <c r="Y91" s="17"/>
      <c r="Z91" s="17"/>
      <c r="AA91" s="17"/>
      <c r="AB91" s="17"/>
      <c r="AC91" s="17"/>
      <c r="AD91" s="17"/>
      <c r="AP91" s="4"/>
      <c r="AQ91" s="54"/>
      <c r="AR91" s="44"/>
      <c r="AS91" s="32"/>
      <c r="AT91" s="4"/>
      <c r="AU91" s="4"/>
      <c r="AV91" s="4"/>
      <c r="AW91" s="55"/>
      <c r="AX91" s="56"/>
      <c r="AY91" s="34"/>
      <c r="AZ91" s="34"/>
      <c r="BA91" s="34"/>
      <c r="BB91" s="34"/>
      <c r="BC91" s="34"/>
      <c r="BD91" s="34"/>
      <c r="BE91" s="34"/>
      <c r="BF91" s="34"/>
      <c r="BG91" s="34"/>
      <c r="BH91" s="34"/>
      <c r="BI91" s="4"/>
      <c r="BJ91" s="4"/>
      <c r="BK91" s="4"/>
      <c r="BL91" s="17"/>
      <c r="BM91" s="17"/>
      <c r="BN91" s="17"/>
      <c r="BO91" s="17"/>
      <c r="BP91" s="17"/>
      <c r="BQ91" s="17"/>
      <c r="BR91" s="17"/>
      <c r="BS91" s="66"/>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row>
    <row r="92" spans="1:151" ht="18" hidden="1" x14ac:dyDescent="0.2">
      <c r="A92" s="165">
        <f t="shared" si="4"/>
        <v>0</v>
      </c>
      <c r="B92" s="48"/>
      <c r="C92" s="191"/>
      <c r="D92" s="190"/>
      <c r="E92" s="191"/>
      <c r="F92" s="150"/>
      <c r="G92" s="191"/>
      <c r="H92" s="190"/>
      <c r="I92" s="191"/>
      <c r="J92" s="191"/>
      <c r="K92" s="190"/>
      <c r="L92" s="191"/>
      <c r="M92" s="191"/>
      <c r="N92" s="160"/>
      <c r="O92" s="160"/>
      <c r="P92" s="160"/>
      <c r="Q92" s="160"/>
      <c r="R92" s="63"/>
      <c r="S92" s="17"/>
      <c r="T92" s="17"/>
      <c r="U92" s="17"/>
      <c r="V92" s="17"/>
      <c r="W92" s="17"/>
      <c r="X92" s="17"/>
      <c r="Y92" s="17"/>
      <c r="Z92" s="17"/>
      <c r="AA92" s="17"/>
      <c r="AB92" s="7"/>
      <c r="AC92" s="71"/>
      <c r="AD92" s="17"/>
      <c r="AP92" s="4"/>
      <c r="AQ92" s="54"/>
      <c r="AR92" s="44"/>
      <c r="AS92" s="32"/>
      <c r="AT92" s="4"/>
      <c r="AU92" s="4"/>
      <c r="AV92" s="4"/>
      <c r="AW92" s="55"/>
      <c r="AX92" s="56"/>
      <c r="AY92" s="34"/>
      <c r="AZ92" s="34"/>
      <c r="BA92" s="34"/>
      <c r="BB92" s="34"/>
      <c r="BC92" s="34"/>
      <c r="BD92" s="34"/>
      <c r="BE92" s="34"/>
      <c r="BF92" s="34"/>
      <c r="BG92" s="34"/>
      <c r="BH92" s="34"/>
      <c r="BI92" s="4"/>
      <c r="BJ92" s="4"/>
      <c r="BK92" s="4"/>
      <c r="BL92" s="17"/>
      <c r="BM92" s="17"/>
      <c r="BN92" s="17"/>
      <c r="BO92" s="17"/>
      <c r="BP92" s="17"/>
      <c r="BQ92" s="17"/>
      <c r="BR92" s="17"/>
      <c r="BS92" s="66"/>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row>
    <row r="93" spans="1:151" ht="18" hidden="1" x14ac:dyDescent="0.25">
      <c r="A93" s="165">
        <f t="shared" ref="A93:A101" si="5">IF(SAUERKÜRZEL=$B$93,1,0)</f>
        <v>0</v>
      </c>
      <c r="B93" s="357" t="s">
        <v>13</v>
      </c>
      <c r="C93" s="160"/>
      <c r="D93" s="164"/>
      <c r="E93" s="160"/>
      <c r="F93" s="160"/>
      <c r="G93" s="160"/>
      <c r="H93" s="160"/>
      <c r="I93" s="160"/>
      <c r="J93" s="160"/>
      <c r="K93" s="160"/>
      <c r="L93" s="160"/>
      <c r="M93" s="160"/>
      <c r="N93" s="161"/>
      <c r="O93" s="161"/>
      <c r="P93" s="160"/>
      <c r="Q93" s="160"/>
      <c r="R93" s="63"/>
      <c r="S93" s="17"/>
      <c r="T93" s="17"/>
      <c r="U93" s="17"/>
      <c r="V93" s="17"/>
      <c r="W93" s="17"/>
      <c r="X93" s="17"/>
      <c r="Y93" s="17"/>
      <c r="Z93" s="17"/>
      <c r="AA93" s="17"/>
      <c r="AB93" s="17"/>
      <c r="AC93" s="17"/>
      <c r="AD93" s="17"/>
      <c r="AP93" s="4"/>
      <c r="AQ93" s="54"/>
      <c r="AR93" s="44"/>
      <c r="AS93" s="32"/>
      <c r="AT93" s="4"/>
      <c r="AU93" s="4"/>
      <c r="AV93" s="4"/>
      <c r="AW93" s="55"/>
      <c r="AX93" s="56"/>
      <c r="AY93" s="34"/>
      <c r="AZ93" s="34"/>
      <c r="BA93" s="34"/>
      <c r="BB93" s="34"/>
      <c r="BC93" s="34"/>
      <c r="BD93" s="34"/>
      <c r="BE93" s="34"/>
      <c r="BF93" s="34"/>
      <c r="BG93" s="34"/>
      <c r="BH93" s="34"/>
      <c r="BI93" s="4"/>
      <c r="BJ93" s="4"/>
      <c r="BK93" s="4"/>
      <c r="BL93" s="17"/>
      <c r="BM93" s="17"/>
      <c r="BN93" s="17"/>
      <c r="BO93" s="17"/>
      <c r="BP93" s="17"/>
      <c r="BQ93" s="17"/>
      <c r="BR93" s="17"/>
      <c r="BS93" s="66"/>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row>
    <row r="94" spans="1:151" ht="9" hidden="1" customHeight="1" x14ac:dyDescent="0.25">
      <c r="A94" s="165">
        <f t="shared" si="5"/>
        <v>0</v>
      </c>
      <c r="B94" s="357"/>
      <c r="C94" s="160"/>
      <c r="D94" s="164"/>
      <c r="E94" s="160"/>
      <c r="F94" s="160"/>
      <c r="G94" s="160"/>
      <c r="H94" s="160"/>
      <c r="I94" s="160"/>
      <c r="J94" s="160"/>
      <c r="K94" s="160"/>
      <c r="L94" s="160"/>
      <c r="M94" s="160"/>
      <c r="N94" s="161"/>
      <c r="O94" s="161"/>
      <c r="P94" s="160"/>
      <c r="Q94" s="160"/>
      <c r="R94" s="63"/>
      <c r="S94" s="17"/>
      <c r="T94" s="17"/>
      <c r="U94" s="17"/>
      <c r="V94" s="17"/>
      <c r="W94" s="17"/>
      <c r="X94" s="17"/>
      <c r="Y94" s="17"/>
      <c r="Z94" s="17"/>
      <c r="AA94" s="17"/>
      <c r="AB94" s="17"/>
      <c r="AC94" s="17"/>
      <c r="AD94" s="17"/>
      <c r="AP94" s="4"/>
      <c r="AQ94" s="54"/>
      <c r="AR94" s="44"/>
      <c r="AS94" s="32"/>
      <c r="AT94" s="4"/>
      <c r="AU94" s="4"/>
      <c r="AV94" s="4"/>
      <c r="AW94" s="55"/>
      <c r="AX94" s="56"/>
      <c r="AY94" s="34"/>
      <c r="AZ94" s="34"/>
      <c r="BA94" s="34"/>
      <c r="BB94" s="34"/>
      <c r="BC94" s="34"/>
      <c r="BD94" s="34"/>
      <c r="BE94" s="34"/>
      <c r="BF94" s="34"/>
      <c r="BG94" s="34"/>
      <c r="BH94" s="34"/>
      <c r="BI94" s="4"/>
      <c r="BJ94" s="4"/>
      <c r="BK94" s="4"/>
      <c r="BL94" s="17"/>
      <c r="BM94" s="17"/>
      <c r="BN94" s="17"/>
      <c r="BO94" s="17"/>
      <c r="BP94" s="17"/>
      <c r="BQ94" s="17"/>
      <c r="BR94" s="17"/>
      <c r="BS94" s="66"/>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row>
    <row r="95" spans="1:151" ht="17.25" hidden="1" customHeight="1" thickBot="1" x14ac:dyDescent="0.25">
      <c r="A95" s="165">
        <f t="shared" si="5"/>
        <v>0</v>
      </c>
      <c r="B95" s="357"/>
      <c r="C95" s="160"/>
      <c r="D95" s="160"/>
      <c r="E95" s="259" t="s">
        <v>36</v>
      </c>
      <c r="F95" s="144"/>
      <c r="G95" s="160"/>
      <c r="H95" s="160"/>
      <c r="I95" s="160"/>
      <c r="J95" s="228"/>
      <c r="K95" s="103" t="s">
        <v>90</v>
      </c>
      <c r="L95" s="350" t="s">
        <v>77</v>
      </c>
      <c r="M95" s="351"/>
      <c r="N95" s="352"/>
      <c r="O95" s="84"/>
      <c r="P95" s="160"/>
      <c r="Q95" s="160"/>
      <c r="R95" s="63"/>
      <c r="S95" s="17"/>
      <c r="T95" s="17"/>
      <c r="W95" s="17"/>
      <c r="X95" s="17"/>
      <c r="Y95" s="17"/>
      <c r="Z95" s="17"/>
      <c r="AA95" s="17"/>
      <c r="AB95" s="17"/>
      <c r="AD95" s="17"/>
      <c r="AP95" s="4"/>
      <c r="AQ95" s="54"/>
      <c r="AR95" s="44"/>
      <c r="AS95" s="32"/>
      <c r="AT95" s="4"/>
      <c r="AU95" s="4"/>
      <c r="AV95" s="4"/>
      <c r="AW95" s="55"/>
      <c r="AX95" s="56"/>
      <c r="AY95" s="34"/>
      <c r="AZ95" s="34"/>
      <c r="BA95" s="34"/>
      <c r="BB95" s="34"/>
      <c r="BC95" s="34"/>
      <c r="BD95" s="34"/>
      <c r="BE95" s="34"/>
      <c r="BF95" s="34"/>
      <c r="BG95" s="34"/>
      <c r="BH95" s="34"/>
      <c r="BI95" s="4"/>
      <c r="BJ95" s="4"/>
      <c r="BK95" s="4"/>
      <c r="BL95" s="17"/>
      <c r="BM95" s="17"/>
      <c r="BN95" s="17"/>
      <c r="BO95" s="17"/>
      <c r="BP95" s="17"/>
      <c r="BQ95" s="17"/>
      <c r="BR95" s="17"/>
      <c r="BS95" s="66"/>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row>
    <row r="96" spans="1:151" ht="18.75" hidden="1" thickBot="1" x14ac:dyDescent="0.25">
      <c r="A96" s="165">
        <f t="shared" si="5"/>
        <v>0</v>
      </c>
      <c r="B96" s="357"/>
      <c r="C96" s="160"/>
      <c r="D96" s="160"/>
      <c r="E96" s="160"/>
      <c r="F96" s="160"/>
      <c r="G96" s="160"/>
      <c r="H96" s="160"/>
      <c r="I96" s="160"/>
      <c r="J96" s="160"/>
      <c r="K96" s="160"/>
      <c r="L96" s="160"/>
      <c r="M96" s="160"/>
      <c r="N96" s="160"/>
      <c r="O96" s="160"/>
      <c r="P96" s="160"/>
      <c r="Q96" s="160"/>
      <c r="R96" s="63"/>
      <c r="S96" s="17"/>
      <c r="T96" s="17"/>
      <c r="U96" s="67">
        <v>17</v>
      </c>
      <c r="V96" s="68">
        <v>3.8</v>
      </c>
      <c r="W96" s="17"/>
      <c r="X96" s="17"/>
      <c r="Y96" s="17"/>
      <c r="Z96" s="17"/>
      <c r="AA96" s="17"/>
      <c r="AB96" s="17"/>
      <c r="AD96" s="17"/>
      <c r="AF96" s="91">
        <f>$AR$5</f>
        <v>1</v>
      </c>
      <c r="AG96" s="92">
        <f>AF96*1.05</f>
        <v>1.05</v>
      </c>
      <c r="AH96" s="93">
        <f>1.8*BA1</f>
        <v>1.8</v>
      </c>
      <c r="AI96" s="95">
        <f>E12</f>
        <v>0.1</v>
      </c>
      <c r="AJ96" s="95">
        <f>AI96/AH96</f>
        <v>5.5555555555555559E-2</v>
      </c>
      <c r="AK96" s="95">
        <f>AI96-AJ96</f>
        <v>4.4444444444444446E-2</v>
      </c>
      <c r="AP96" s="4"/>
      <c r="AQ96" s="54"/>
      <c r="AR96" s="44"/>
      <c r="AS96" s="32"/>
      <c r="AT96" s="4"/>
      <c r="AU96" s="4"/>
      <c r="AV96" s="4"/>
      <c r="AW96" s="55"/>
      <c r="AX96" s="56"/>
      <c r="AY96" s="34"/>
      <c r="AZ96" s="34"/>
      <c r="BA96" s="34"/>
      <c r="BB96" s="34"/>
      <c r="BC96" s="34"/>
      <c r="BD96" s="34"/>
      <c r="BE96" s="34"/>
      <c r="BF96" s="34"/>
      <c r="BG96" s="34"/>
      <c r="BH96" s="34"/>
      <c r="BI96" s="4"/>
      <c r="BJ96" s="4"/>
      <c r="BK96" s="4"/>
      <c r="BL96" s="17"/>
      <c r="BM96" s="17"/>
      <c r="BN96" s="17"/>
      <c r="BO96" s="17"/>
      <c r="BP96" s="17"/>
      <c r="BQ96" s="17"/>
      <c r="BR96" s="17"/>
      <c r="BS96" s="66"/>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row>
    <row r="97" spans="1:151" s="17" customFormat="1" ht="18" hidden="1" customHeight="1" x14ac:dyDescent="0.2">
      <c r="A97" s="165">
        <f t="shared" si="5"/>
        <v>0</v>
      </c>
      <c r="B97" s="357"/>
      <c r="C97" s="203"/>
      <c r="D97" s="207" t="s">
        <v>65</v>
      </c>
      <c r="E97" s="207"/>
      <c r="F97" s="203"/>
      <c r="G97" s="356" t="s">
        <v>66</v>
      </c>
      <c r="H97" s="356"/>
      <c r="I97" s="356" t="s">
        <v>45</v>
      </c>
      <c r="J97" s="356"/>
      <c r="K97" s="356" t="s">
        <v>43</v>
      </c>
      <c r="L97" s="356"/>
      <c r="M97" s="203"/>
      <c r="N97" s="207" t="s">
        <v>67</v>
      </c>
      <c r="O97" s="203"/>
      <c r="P97" s="207"/>
      <c r="Q97" s="203"/>
      <c r="R97" s="124"/>
      <c r="S97" s="102"/>
      <c r="T97" s="102"/>
      <c r="U97" s="102"/>
      <c r="AP97" s="4"/>
      <c r="AQ97" s="54"/>
      <c r="AR97" s="44"/>
      <c r="AS97" s="32"/>
      <c r="AT97" s="4"/>
      <c r="AU97" s="4"/>
      <c r="AV97" s="4"/>
      <c r="AW97" s="55"/>
      <c r="AX97" s="56"/>
      <c r="AY97" s="34"/>
      <c r="AZ97" s="34"/>
      <c r="BA97" s="34"/>
      <c r="BB97" s="34"/>
      <c r="BC97" s="34"/>
      <c r="BD97" s="34"/>
      <c r="BE97" s="34"/>
      <c r="BF97" s="34"/>
      <c r="BG97" s="34"/>
      <c r="BH97" s="34"/>
      <c r="BI97" s="4"/>
      <c r="BJ97" s="4"/>
      <c r="BK97" s="4"/>
      <c r="BS97" s="66"/>
    </row>
    <row r="98" spans="1:151" s="17" customFormat="1" ht="18" hidden="1" customHeight="1" x14ac:dyDescent="0.2">
      <c r="A98" s="165">
        <f t="shared" si="5"/>
        <v>0</v>
      </c>
      <c r="B98" s="357"/>
      <c r="C98" s="317">
        <f>IF($L$95='Sauerteig-Rechner'!V11,0.1,IF($L$95='Sauerteig-Rechner'!V12,0.05,0.02))</f>
        <v>0.1</v>
      </c>
      <c r="D98" s="289"/>
      <c r="E98" s="318">
        <f>C98*G98</f>
        <v>0.11055555555555557</v>
      </c>
      <c r="F98" s="289"/>
      <c r="G98" s="354">
        <f>AG96+AJ96-I98</f>
        <v>1.1055555555555556</v>
      </c>
      <c r="H98" s="354"/>
      <c r="I98" s="354">
        <f>$AU$6</f>
        <v>0</v>
      </c>
      <c r="J98" s="354"/>
      <c r="K98" s="354">
        <f>(AG96*(AH96-1))+AK96</f>
        <v>0.88444444444444448</v>
      </c>
      <c r="L98" s="354"/>
      <c r="M98" s="289"/>
      <c r="N98" s="319" t="str">
        <f>IF(L95='Sauerteig-Rechner'!V11,"24 - 26 C",IF(L95='Sauerteig-Rechner'!V12,"26 - 27 C","27 - 28 C"))</f>
        <v>24 - 26 C</v>
      </c>
      <c r="O98" s="319"/>
      <c r="P98" s="203"/>
      <c r="Q98" s="203"/>
      <c r="R98" s="124"/>
      <c r="S98" s="102"/>
      <c r="T98" s="102"/>
      <c r="U98" s="102"/>
      <c r="AP98" s="4"/>
      <c r="AQ98" s="54"/>
      <c r="AR98" s="44"/>
      <c r="AS98" s="32"/>
      <c r="AT98" s="4"/>
      <c r="AU98" s="4"/>
      <c r="AV98" s="4"/>
      <c r="AW98" s="55"/>
      <c r="AX98" s="56"/>
      <c r="AY98" s="34"/>
      <c r="AZ98" s="34"/>
      <c r="BA98" s="34"/>
      <c r="BB98" s="34"/>
      <c r="BC98" s="34"/>
      <c r="BD98" s="34"/>
      <c r="BE98" s="34"/>
      <c r="BF98" s="34"/>
      <c r="BG98" s="34"/>
      <c r="BH98" s="34"/>
      <c r="BI98" s="4"/>
      <c r="BJ98" s="4"/>
      <c r="BK98" s="4"/>
      <c r="BS98" s="66"/>
    </row>
    <row r="99" spans="1:151" ht="18" hidden="1" x14ac:dyDescent="0.2">
      <c r="A99" s="165">
        <f t="shared" si="5"/>
        <v>0</v>
      </c>
      <c r="B99" s="357"/>
      <c r="C99" s="160"/>
      <c r="D99" s="160"/>
      <c r="E99" s="160"/>
      <c r="F99" s="160"/>
      <c r="G99" s="160"/>
      <c r="H99" s="229"/>
      <c r="I99" s="160"/>
      <c r="J99" s="182"/>
      <c r="K99" s="160"/>
      <c r="L99" s="160"/>
      <c r="M99" s="160"/>
      <c r="N99" s="160"/>
      <c r="O99" s="160"/>
      <c r="P99" s="160"/>
      <c r="Q99" s="160"/>
      <c r="R99" s="63"/>
      <c r="S99" s="17"/>
      <c r="T99" s="82">
        <f>IF(U99&lt;&gt;"",U99,0)</f>
        <v>0</v>
      </c>
      <c r="U99" s="83" t="str">
        <f>IF(A95&lt;&gt;1,"",IF(G98&lt;0,101%,I98/SUM(G98,I98)))</f>
        <v/>
      </c>
      <c r="V99" s="17"/>
      <c r="W99" s="17"/>
      <c r="X99" s="17"/>
      <c r="Y99" s="17"/>
      <c r="Z99" s="17"/>
      <c r="AA99" s="17"/>
      <c r="AB99" s="17"/>
      <c r="AD99" s="17"/>
      <c r="AP99" s="4"/>
      <c r="AQ99" s="54"/>
      <c r="AR99" s="44"/>
      <c r="AS99" s="32"/>
      <c r="AT99" s="4"/>
      <c r="AU99" s="4"/>
      <c r="AV99" s="4"/>
      <c r="AW99" s="55"/>
      <c r="AX99" s="56"/>
      <c r="AY99" s="34"/>
      <c r="AZ99" s="34"/>
      <c r="BA99" s="34"/>
      <c r="BB99" s="34"/>
      <c r="BC99" s="34"/>
      <c r="BD99" s="34"/>
      <c r="BE99" s="34"/>
      <c r="BF99" s="34"/>
      <c r="BG99" s="34"/>
      <c r="BH99" s="34"/>
      <c r="BI99" s="4"/>
      <c r="BJ99" s="4"/>
      <c r="BK99" s="4"/>
      <c r="BL99" s="17"/>
      <c r="BM99" s="17"/>
      <c r="BN99" s="17"/>
      <c r="BO99" s="17"/>
      <c r="BP99" s="17"/>
      <c r="BQ99" s="17"/>
      <c r="BR99" s="17"/>
      <c r="BS99" s="66"/>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row>
    <row r="100" spans="1:151" ht="18" hidden="1" x14ac:dyDescent="0.2">
      <c r="A100" s="165">
        <f t="shared" si="5"/>
        <v>0</v>
      </c>
      <c r="B100" s="357"/>
      <c r="C100" s="264"/>
      <c r="D100" s="264"/>
      <c r="E100" s="321" t="s">
        <v>78</v>
      </c>
      <c r="F100" s="320"/>
      <c r="G100" s="320"/>
      <c r="H100" s="320"/>
      <c r="I100" s="320"/>
      <c r="J100" s="320"/>
      <c r="K100" s="227"/>
      <c r="L100" s="227"/>
      <c r="M100" s="227"/>
      <c r="N100" s="160"/>
      <c r="O100" s="160"/>
      <c r="P100" s="160"/>
      <c r="Q100" s="160"/>
      <c r="R100" s="63"/>
      <c r="S100" s="17"/>
      <c r="T100" s="17"/>
      <c r="U100" s="17"/>
      <c r="V100" s="17"/>
      <c r="W100" s="74"/>
      <c r="X100" s="81"/>
      <c r="Y100" s="74"/>
      <c r="Z100" s="75"/>
      <c r="AA100" s="17"/>
      <c r="AB100" s="17"/>
      <c r="AD100" s="17"/>
      <c r="AP100" s="4"/>
      <c r="AQ100" s="54"/>
      <c r="AR100" s="44"/>
      <c r="AS100" s="32"/>
      <c r="AT100" s="4"/>
      <c r="AU100" s="4"/>
      <c r="AV100" s="4"/>
      <c r="AW100" s="55"/>
      <c r="AX100" s="56"/>
      <c r="AY100" s="34"/>
      <c r="AZ100" s="34"/>
      <c r="BA100" s="34"/>
      <c r="BB100" s="34"/>
      <c r="BC100" s="34"/>
      <c r="BD100" s="34"/>
      <c r="BE100" s="34"/>
      <c r="BF100" s="34"/>
      <c r="BG100" s="34"/>
      <c r="BH100" s="34"/>
      <c r="BI100" s="4"/>
      <c r="BJ100" s="4"/>
      <c r="BK100" s="4"/>
      <c r="BL100" s="17"/>
      <c r="BM100" s="17"/>
      <c r="BN100" s="17"/>
      <c r="BO100" s="17"/>
      <c r="BP100" s="17"/>
      <c r="BQ100" s="17"/>
      <c r="BR100" s="17"/>
      <c r="BS100" s="66"/>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row>
    <row r="101" spans="1:151" ht="18" hidden="1" x14ac:dyDescent="0.2">
      <c r="A101" s="165">
        <f t="shared" si="5"/>
        <v>0</v>
      </c>
      <c r="B101" s="48"/>
      <c r="C101" s="160"/>
      <c r="D101" s="190"/>
      <c r="E101" s="191"/>
      <c r="F101" s="150"/>
      <c r="G101" s="191"/>
      <c r="H101" s="190"/>
      <c r="I101" s="191"/>
      <c r="J101" s="191"/>
      <c r="K101" s="191"/>
      <c r="L101" s="191"/>
      <c r="M101" s="191"/>
      <c r="N101" s="160"/>
      <c r="O101" s="160"/>
      <c r="P101" s="160"/>
      <c r="Q101" s="160"/>
      <c r="R101" s="63"/>
      <c r="S101" s="17"/>
      <c r="T101" s="17"/>
      <c r="U101" s="17"/>
      <c r="V101" s="17"/>
      <c r="W101" s="74"/>
      <c r="X101" s="81"/>
      <c r="Y101" s="74"/>
      <c r="Z101" s="75"/>
      <c r="AA101" s="17"/>
      <c r="AB101" s="17"/>
      <c r="AC101" s="17"/>
      <c r="AD101" s="17"/>
      <c r="AP101" s="4"/>
      <c r="AQ101" s="54"/>
      <c r="AR101" s="44"/>
      <c r="AS101" s="32"/>
      <c r="AT101" s="4"/>
      <c r="AU101" s="4"/>
      <c r="AV101" s="4"/>
      <c r="AW101" s="55"/>
      <c r="AX101" s="56"/>
      <c r="AY101" s="34"/>
      <c r="AZ101" s="34"/>
      <c r="BA101" s="34"/>
      <c r="BB101" s="34"/>
      <c r="BC101" s="34"/>
      <c r="BD101" s="34"/>
      <c r="BE101" s="34"/>
      <c r="BF101" s="34"/>
      <c r="BG101" s="34"/>
      <c r="BH101" s="34"/>
      <c r="BI101" s="4"/>
      <c r="BJ101" s="4"/>
      <c r="BK101" s="4"/>
      <c r="BL101" s="17"/>
      <c r="BM101" s="17"/>
      <c r="BN101" s="17"/>
      <c r="BO101" s="17"/>
      <c r="BP101" s="17"/>
      <c r="BQ101" s="17"/>
      <c r="BR101" s="17"/>
      <c r="BS101" s="66"/>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row>
    <row r="102" spans="1:151" ht="26.25" hidden="1" customHeight="1" x14ac:dyDescent="0.2">
      <c r="A102" s="165">
        <f t="shared" ref="A102:A110" si="6">IF(SAUERKÜRZEL=$B$102,1,0)</f>
        <v>0</v>
      </c>
      <c r="B102" s="357" t="s">
        <v>15</v>
      </c>
      <c r="C102" s="160"/>
      <c r="D102" s="160"/>
      <c r="E102" s="160"/>
      <c r="F102" s="160"/>
      <c r="G102" s="160"/>
      <c r="H102" s="160"/>
      <c r="I102" s="160"/>
      <c r="J102" s="160"/>
      <c r="K102" s="160"/>
      <c r="L102" s="160"/>
      <c r="M102" s="160"/>
      <c r="N102" s="241"/>
      <c r="O102" s="241"/>
      <c r="P102" s="160"/>
      <c r="Q102" s="160"/>
      <c r="R102" s="63"/>
      <c r="S102" s="17"/>
      <c r="T102" s="17"/>
      <c r="U102" s="17"/>
      <c r="V102" s="17"/>
      <c r="W102" s="17"/>
      <c r="X102" s="17"/>
      <c r="Y102" s="17"/>
      <c r="Z102" s="17"/>
      <c r="AA102" s="17"/>
      <c r="AB102" s="17"/>
      <c r="AC102" s="17"/>
      <c r="AD102" s="17"/>
      <c r="AP102" s="4"/>
      <c r="AQ102" s="54"/>
      <c r="AR102" s="44"/>
      <c r="AS102" s="32"/>
      <c r="AT102" s="4"/>
      <c r="AU102" s="4"/>
      <c r="AV102" s="4"/>
      <c r="AW102" s="55"/>
      <c r="AX102" s="56"/>
      <c r="AY102" s="34"/>
      <c r="AZ102" s="34"/>
      <c r="BA102" s="34"/>
      <c r="BB102" s="34"/>
      <c r="BC102" s="34"/>
      <c r="BD102" s="34"/>
      <c r="BE102" s="34"/>
      <c r="BF102" s="34"/>
      <c r="BG102" s="34"/>
      <c r="BH102" s="34"/>
      <c r="BI102" s="4"/>
      <c r="BJ102" s="4"/>
      <c r="BK102" s="4"/>
      <c r="BL102" s="17"/>
      <c r="BM102" s="17"/>
      <c r="BN102" s="17"/>
      <c r="BO102" s="17"/>
      <c r="BP102" s="17"/>
      <c r="BQ102" s="17"/>
      <c r="BR102" s="17"/>
      <c r="BS102" s="66"/>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row>
    <row r="103" spans="1:151" ht="17.25" hidden="1" customHeight="1" x14ac:dyDescent="0.2">
      <c r="A103" s="165">
        <f t="shared" si="6"/>
        <v>0</v>
      </c>
      <c r="B103" s="357"/>
      <c r="C103" s="160"/>
      <c r="D103" s="160"/>
      <c r="E103" s="259" t="s">
        <v>68</v>
      </c>
      <c r="F103" s="160"/>
      <c r="G103" s="160"/>
      <c r="H103" s="160"/>
      <c r="I103" s="160"/>
      <c r="J103" s="160"/>
      <c r="K103" s="103" t="s">
        <v>90</v>
      </c>
      <c r="L103" s="350" t="s">
        <v>77</v>
      </c>
      <c r="M103" s="351"/>
      <c r="N103" s="352"/>
      <c r="O103" s="84"/>
      <c r="P103" s="160"/>
      <c r="Q103" s="160"/>
      <c r="R103" s="63"/>
      <c r="S103" s="17"/>
      <c r="T103" s="17"/>
      <c r="W103" s="17"/>
      <c r="X103" s="17"/>
      <c r="Y103" s="17"/>
      <c r="Z103" s="17"/>
      <c r="AA103" s="17"/>
      <c r="AB103" s="17"/>
      <c r="AC103" s="17"/>
      <c r="AD103" s="17"/>
      <c r="AP103" s="4"/>
      <c r="AQ103" s="54"/>
      <c r="AR103" s="44"/>
      <c r="AS103" s="32"/>
      <c r="AT103" s="4"/>
      <c r="AU103" s="4"/>
      <c r="AV103" s="4"/>
      <c r="AW103" s="55"/>
      <c r="AX103" s="56"/>
      <c r="AY103" s="34"/>
      <c r="AZ103" s="34"/>
      <c r="BA103" s="34"/>
      <c r="BB103" s="34"/>
      <c r="BC103" s="34"/>
      <c r="BD103" s="34"/>
      <c r="BE103" s="34"/>
      <c r="BF103" s="34"/>
      <c r="BG103" s="34"/>
      <c r="BH103" s="34"/>
      <c r="BI103" s="4"/>
      <c r="BJ103" s="4"/>
      <c r="BK103" s="4"/>
      <c r="BL103" s="17"/>
      <c r="BM103" s="17"/>
      <c r="BN103" s="17"/>
      <c r="BO103" s="17"/>
      <c r="BP103" s="17"/>
      <c r="BQ103" s="17"/>
      <c r="BR103" s="17"/>
      <c r="BS103" s="66"/>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row>
    <row r="104" spans="1:151" ht="18" hidden="1" x14ac:dyDescent="0.2">
      <c r="A104" s="165">
        <f t="shared" si="6"/>
        <v>0</v>
      </c>
      <c r="B104" s="357"/>
      <c r="C104" s="160"/>
      <c r="D104" s="160"/>
      <c r="E104" s="160"/>
      <c r="F104" s="160"/>
      <c r="G104" s="160"/>
      <c r="H104" s="160"/>
      <c r="I104" s="160"/>
      <c r="J104" s="160"/>
      <c r="K104" s="160"/>
      <c r="L104" s="160"/>
      <c r="M104" s="160"/>
      <c r="N104" s="160"/>
      <c r="O104" s="160"/>
      <c r="P104" s="160"/>
      <c r="Q104" s="160"/>
      <c r="R104" s="63"/>
      <c r="S104" s="17"/>
      <c r="T104" s="17"/>
      <c r="U104" s="67">
        <v>17</v>
      </c>
      <c r="V104" s="68">
        <v>3.8</v>
      </c>
      <c r="W104" s="17"/>
      <c r="X104" s="17"/>
      <c r="Y104" s="17"/>
      <c r="Z104" s="17"/>
      <c r="AA104" s="17"/>
      <c r="AB104" s="17"/>
      <c r="AC104" s="17"/>
      <c r="AD104" s="17"/>
      <c r="AF104" s="104">
        <f>$AR$5</f>
        <v>1</v>
      </c>
      <c r="AG104" s="105">
        <f>AF104*1.05</f>
        <v>1.05</v>
      </c>
      <c r="AH104" s="106">
        <f>1.8*BA1</f>
        <v>1.8</v>
      </c>
      <c r="AI104" s="107">
        <f>E12</f>
        <v>0.1</v>
      </c>
      <c r="AJ104" s="107">
        <f>AI104/AH104</f>
        <v>5.5555555555555559E-2</v>
      </c>
      <c r="AK104" s="107">
        <f>AI104-AJ104</f>
        <v>4.4444444444444446E-2</v>
      </c>
      <c r="AP104" s="4"/>
      <c r="AQ104" s="54"/>
      <c r="AR104" s="44"/>
      <c r="AS104" s="32"/>
      <c r="AT104" s="4"/>
      <c r="AU104" s="4"/>
      <c r="AV104" s="4"/>
      <c r="AW104" s="55"/>
      <c r="AX104" s="56"/>
      <c r="AY104" s="34"/>
      <c r="AZ104" s="34"/>
      <c r="BA104" s="34"/>
      <c r="BB104" s="34"/>
      <c r="BC104" s="34"/>
      <c r="BD104" s="34"/>
      <c r="BE104" s="34"/>
      <c r="BF104" s="34"/>
      <c r="BG104" s="34"/>
      <c r="BH104" s="34"/>
      <c r="BI104" s="4"/>
      <c r="BJ104" s="4"/>
      <c r="BK104" s="4"/>
      <c r="BL104" s="17"/>
      <c r="BM104" s="17"/>
      <c r="BN104" s="17"/>
      <c r="BO104" s="17"/>
      <c r="BP104" s="17"/>
      <c r="BQ104" s="17"/>
      <c r="BR104" s="17"/>
      <c r="BS104" s="66"/>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row>
    <row r="105" spans="1:151" s="17" customFormat="1" ht="18" hidden="1" customHeight="1" x14ac:dyDescent="0.2">
      <c r="A105" s="165">
        <f t="shared" si="6"/>
        <v>0</v>
      </c>
      <c r="B105" s="357"/>
      <c r="C105" s="289"/>
      <c r="D105" s="294" t="s">
        <v>65</v>
      </c>
      <c r="E105" s="294"/>
      <c r="F105" s="294"/>
      <c r="G105" s="353" t="s">
        <v>66</v>
      </c>
      <c r="H105" s="353"/>
      <c r="I105" s="353" t="s">
        <v>45</v>
      </c>
      <c r="J105" s="353"/>
      <c r="K105" s="353" t="s">
        <v>43</v>
      </c>
      <c r="L105" s="353"/>
      <c r="M105" s="289"/>
      <c r="N105" s="294" t="s">
        <v>67</v>
      </c>
      <c r="O105" s="294"/>
      <c r="P105" s="207"/>
      <c r="Q105" s="203"/>
      <c r="R105" s="124"/>
      <c r="AP105" s="4"/>
      <c r="AQ105" s="54"/>
      <c r="AR105" s="44"/>
      <c r="AS105" s="32"/>
      <c r="AT105" s="4"/>
      <c r="AU105" s="4"/>
      <c r="AV105" s="4"/>
      <c r="AW105" s="55"/>
      <c r="AX105" s="56"/>
      <c r="AY105" s="34"/>
      <c r="AZ105" s="34"/>
      <c r="BA105" s="34"/>
      <c r="BB105" s="34"/>
      <c r="BC105" s="34"/>
      <c r="BD105" s="34"/>
      <c r="BE105" s="34"/>
      <c r="BF105" s="34"/>
      <c r="BG105" s="34"/>
      <c r="BH105" s="34"/>
      <c r="BI105" s="4"/>
      <c r="BJ105" s="4"/>
      <c r="BK105" s="4"/>
      <c r="BS105" s="66"/>
    </row>
    <row r="106" spans="1:151" s="17" customFormat="1" ht="18" hidden="1" customHeight="1" x14ac:dyDescent="0.2">
      <c r="A106" s="165">
        <f t="shared" si="6"/>
        <v>0</v>
      </c>
      <c r="B106" s="357"/>
      <c r="C106" s="322">
        <f>IF($L$103='Sauerteig-Rechner'!W11,0.05,0.1)</f>
        <v>0.05</v>
      </c>
      <c r="D106" s="289"/>
      <c r="E106" s="323">
        <f>C106*G106</f>
        <v>5.5277777777777787E-2</v>
      </c>
      <c r="F106" s="289"/>
      <c r="G106" s="358">
        <f>AG104+AJ104-I106</f>
        <v>1.1055555555555556</v>
      </c>
      <c r="H106" s="358"/>
      <c r="I106" s="354">
        <f>$AU$6</f>
        <v>0</v>
      </c>
      <c r="J106" s="354"/>
      <c r="K106" s="358">
        <f>AG104*(AH104-1)+AK104</f>
        <v>0.88444444444444448</v>
      </c>
      <c r="L106" s="358"/>
      <c r="M106" s="289"/>
      <c r="N106" s="319" t="str">
        <f>IF(L103='Sauerteig-Rechner'!W11,"26 - 27 C","24 - 26 C")</f>
        <v>26 - 27 C</v>
      </c>
      <c r="O106" s="319"/>
      <c r="P106" s="203"/>
      <c r="Q106" s="203"/>
      <c r="R106" s="124"/>
      <c r="AP106" s="4"/>
      <c r="AQ106" s="54"/>
      <c r="AR106" s="44"/>
      <c r="AS106" s="32"/>
      <c r="AT106" s="4"/>
      <c r="AU106" s="4"/>
      <c r="AV106" s="4"/>
      <c r="AW106" s="55"/>
      <c r="AX106" s="56"/>
      <c r="AY106" s="34"/>
      <c r="AZ106" s="34"/>
      <c r="BA106" s="34"/>
      <c r="BB106" s="34"/>
      <c r="BC106" s="34"/>
      <c r="BD106" s="34"/>
      <c r="BE106" s="34"/>
      <c r="BF106" s="34"/>
      <c r="BG106" s="34"/>
      <c r="BH106" s="34"/>
      <c r="BI106" s="4"/>
      <c r="BJ106" s="4"/>
      <c r="BK106" s="4"/>
      <c r="BS106" s="66"/>
    </row>
    <row r="107" spans="1:151" ht="18" hidden="1" x14ac:dyDescent="0.2">
      <c r="A107" s="165">
        <f t="shared" si="6"/>
        <v>0</v>
      </c>
      <c r="B107" s="357"/>
      <c r="C107" s="160"/>
      <c r="D107" s="160"/>
      <c r="E107" s="160"/>
      <c r="F107" s="160"/>
      <c r="G107" s="160"/>
      <c r="H107" s="229"/>
      <c r="I107" s="160"/>
      <c r="J107" s="160"/>
      <c r="K107" s="160"/>
      <c r="L107" s="160"/>
      <c r="M107" s="160"/>
      <c r="N107" s="160"/>
      <c r="O107" s="160"/>
      <c r="P107" s="160"/>
      <c r="Q107" s="160"/>
      <c r="R107" s="63"/>
      <c r="S107" s="17"/>
      <c r="T107" s="82">
        <f>IF(U107&lt;&gt;"",U107,0)</f>
        <v>0</v>
      </c>
      <c r="U107" s="83" t="str">
        <f>IF(A103&lt;&gt;1,"",IF(G106&lt;0,101%,I106/SUM(G106,I106)))</f>
        <v/>
      </c>
      <c r="V107" s="17"/>
      <c r="W107" s="17"/>
      <c r="X107" s="17"/>
      <c r="Y107" s="17"/>
      <c r="Z107" s="17"/>
      <c r="AA107" s="17"/>
      <c r="AB107" s="17"/>
      <c r="AC107" s="17"/>
      <c r="AD107" s="17"/>
      <c r="AP107" s="4"/>
      <c r="AQ107" s="54"/>
      <c r="AR107" s="44"/>
      <c r="AS107" s="32"/>
      <c r="AT107" s="4"/>
      <c r="AU107" s="4"/>
      <c r="AV107" s="4"/>
      <c r="AW107" s="55"/>
      <c r="AX107" s="56"/>
      <c r="AY107" s="34"/>
      <c r="AZ107" s="34"/>
      <c r="BA107" s="34"/>
      <c r="BB107" s="34"/>
      <c r="BC107" s="34"/>
      <c r="BD107" s="34"/>
      <c r="BE107" s="34"/>
      <c r="BF107" s="34"/>
      <c r="BG107" s="34"/>
      <c r="BH107" s="34"/>
      <c r="BI107" s="4"/>
      <c r="BJ107" s="4"/>
      <c r="BK107" s="4"/>
      <c r="BL107" s="17"/>
      <c r="BM107" s="17"/>
      <c r="BN107" s="17"/>
      <c r="BO107" s="17"/>
      <c r="BP107" s="17"/>
      <c r="BQ107" s="17"/>
      <c r="BR107" s="17"/>
      <c r="BS107" s="66"/>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row>
    <row r="108" spans="1:151" ht="18" hidden="1" x14ac:dyDescent="0.2">
      <c r="A108" s="165">
        <f t="shared" si="6"/>
        <v>0</v>
      </c>
      <c r="B108" s="357"/>
      <c r="C108" s="160"/>
      <c r="D108" s="160"/>
      <c r="E108" s="230"/>
      <c r="F108" s="230"/>
      <c r="G108" s="160"/>
      <c r="H108" s="160"/>
      <c r="I108" s="230"/>
      <c r="J108" s="230"/>
      <c r="K108" s="230"/>
      <c r="L108" s="230"/>
      <c r="M108" s="160"/>
      <c r="N108" s="160"/>
      <c r="O108" s="160"/>
      <c r="P108" s="160"/>
      <c r="Q108" s="160"/>
      <c r="R108" s="63"/>
      <c r="S108" s="17"/>
      <c r="T108" s="17"/>
      <c r="U108" s="17"/>
      <c r="V108" s="17"/>
      <c r="W108" s="17"/>
      <c r="X108" s="17"/>
      <c r="Y108" s="17"/>
      <c r="Z108" s="17"/>
      <c r="AA108" s="17"/>
      <c r="AB108" s="17"/>
      <c r="AC108" s="17"/>
      <c r="AD108" s="17"/>
      <c r="AP108" s="4"/>
      <c r="AQ108" s="54"/>
      <c r="AR108" s="44"/>
      <c r="AS108" s="32"/>
      <c r="AT108" s="4"/>
      <c r="AU108" s="4"/>
      <c r="AV108" s="4"/>
      <c r="AW108" s="55"/>
      <c r="AX108" s="56"/>
      <c r="AY108" s="34"/>
      <c r="AZ108" s="34"/>
      <c r="BA108" s="34"/>
      <c r="BB108" s="34"/>
      <c r="BC108" s="34"/>
      <c r="BD108" s="34"/>
      <c r="BE108" s="34"/>
      <c r="BF108" s="34"/>
      <c r="BG108" s="34"/>
      <c r="BH108" s="34"/>
      <c r="BI108" s="4"/>
      <c r="BJ108" s="4"/>
      <c r="BK108" s="4"/>
      <c r="BL108" s="17"/>
      <c r="BM108" s="17"/>
      <c r="BN108" s="17"/>
      <c r="BO108" s="17"/>
      <c r="BP108" s="17"/>
      <c r="BQ108" s="17"/>
      <c r="BR108" s="17"/>
      <c r="BS108" s="66"/>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row>
    <row r="109" spans="1:151" ht="18" hidden="1" x14ac:dyDescent="0.2">
      <c r="A109" s="165">
        <f t="shared" si="6"/>
        <v>0</v>
      </c>
      <c r="B109" s="357"/>
      <c r="C109" s="264"/>
      <c r="D109" s="264"/>
      <c r="E109" s="264"/>
      <c r="F109" s="324"/>
      <c r="G109" s="325" t="s">
        <v>5</v>
      </c>
      <c r="H109" s="264"/>
      <c r="I109" s="264"/>
      <c r="J109" s="264"/>
      <c r="K109" s="264"/>
      <c r="L109" s="160"/>
      <c r="M109" s="160"/>
      <c r="N109" s="160"/>
      <c r="O109" s="160"/>
      <c r="P109" s="160"/>
      <c r="Q109" s="160"/>
      <c r="R109" s="63"/>
      <c r="S109" s="17"/>
      <c r="T109" s="17"/>
      <c r="U109" s="17"/>
      <c r="V109" s="17"/>
      <c r="W109" s="17"/>
      <c r="X109" s="17"/>
      <c r="Y109" s="17"/>
      <c r="Z109" s="17"/>
      <c r="AA109" s="17"/>
      <c r="AB109" s="17"/>
      <c r="AC109" s="17"/>
      <c r="AD109" s="17"/>
      <c r="AP109" s="4"/>
      <c r="AQ109" s="54"/>
      <c r="AR109" s="44"/>
      <c r="AS109" s="32"/>
      <c r="AT109" s="4"/>
      <c r="AU109" s="4"/>
      <c r="AV109" s="4"/>
      <c r="AW109" s="55"/>
      <c r="AX109" s="56"/>
      <c r="AY109" s="34"/>
      <c r="AZ109" s="34"/>
      <c r="BA109" s="34"/>
      <c r="BB109" s="34"/>
      <c r="BC109" s="34"/>
      <c r="BD109" s="34"/>
      <c r="BE109" s="34"/>
      <c r="BF109" s="34"/>
      <c r="BG109" s="34"/>
      <c r="BH109" s="34"/>
      <c r="BI109" s="4"/>
      <c r="BJ109" s="4"/>
      <c r="BK109" s="4"/>
      <c r="BL109" s="17"/>
      <c r="BM109" s="17"/>
      <c r="BN109" s="17"/>
      <c r="BO109" s="17"/>
      <c r="BP109" s="17"/>
      <c r="BQ109" s="17"/>
      <c r="BR109" s="17"/>
      <c r="BS109" s="66"/>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row>
    <row r="110" spans="1:151" ht="18" hidden="1" x14ac:dyDescent="0.2">
      <c r="A110" s="165">
        <f t="shared" si="6"/>
        <v>0</v>
      </c>
      <c r="B110" s="48"/>
      <c r="C110" s="160"/>
      <c r="D110" s="219"/>
      <c r="E110" s="160"/>
      <c r="F110" s="177"/>
      <c r="G110" s="177"/>
      <c r="H110" s="177"/>
      <c r="I110" s="144"/>
      <c r="J110" s="144"/>
      <c r="K110" s="160"/>
      <c r="L110" s="160"/>
      <c r="M110" s="160"/>
      <c r="N110" s="160"/>
      <c r="O110" s="160"/>
      <c r="P110" s="160"/>
      <c r="Q110" s="160"/>
      <c r="R110" s="63"/>
      <c r="S110" s="17"/>
      <c r="T110" s="17"/>
      <c r="U110" s="17"/>
      <c r="V110" s="17"/>
      <c r="W110" s="17"/>
      <c r="X110" s="17"/>
      <c r="Y110" s="17"/>
      <c r="Z110" s="17"/>
      <c r="AA110" s="17"/>
      <c r="AB110" s="17"/>
      <c r="AC110" s="17"/>
      <c r="AD110" s="17"/>
      <c r="AP110" s="4"/>
      <c r="AQ110" s="54"/>
      <c r="AR110" s="44"/>
      <c r="AS110" s="32"/>
      <c r="AT110" s="4"/>
      <c r="AU110" s="4"/>
      <c r="AV110" s="4"/>
      <c r="AW110" s="55"/>
      <c r="AX110" s="56"/>
      <c r="AY110" s="34"/>
      <c r="AZ110" s="34"/>
      <c r="BA110" s="34"/>
      <c r="BB110" s="34"/>
      <c r="BC110" s="34"/>
      <c r="BD110" s="34"/>
      <c r="BE110" s="34"/>
      <c r="BF110" s="34"/>
      <c r="BG110" s="34"/>
      <c r="BH110" s="34"/>
      <c r="BI110" s="4"/>
      <c r="BJ110" s="4"/>
      <c r="BK110" s="4"/>
      <c r="BL110" s="17"/>
      <c r="BM110" s="17"/>
      <c r="BN110" s="17"/>
      <c r="BO110" s="17"/>
      <c r="BP110" s="17"/>
      <c r="BQ110" s="17"/>
      <c r="BR110" s="17"/>
      <c r="BS110" s="66"/>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row>
    <row r="111" spans="1:151" ht="19.5" hidden="1" customHeight="1" x14ac:dyDescent="0.2">
      <c r="A111" s="165">
        <f t="shared" ref="A111:A125" si="7">IF(SAUERKÜRZEL=$B$111,1,0)</f>
        <v>0</v>
      </c>
      <c r="B111" s="357" t="s">
        <v>19</v>
      </c>
      <c r="C111" s="144"/>
      <c r="D111" s="144"/>
      <c r="E111" s="259" t="s">
        <v>69</v>
      </c>
      <c r="F111" s="169"/>
      <c r="G111" s="144"/>
      <c r="H111" s="144"/>
      <c r="I111" s="144"/>
      <c r="J111" s="144"/>
      <c r="K111" s="160"/>
      <c r="L111" s="160"/>
      <c r="M111" s="160"/>
      <c r="N111" s="241"/>
      <c r="O111" s="241"/>
      <c r="P111" s="160"/>
      <c r="Q111" s="160"/>
      <c r="R111" s="63"/>
      <c r="S111" s="17"/>
      <c r="T111" s="17"/>
      <c r="W111" s="17"/>
      <c r="X111" s="17"/>
      <c r="Y111" s="17"/>
      <c r="Z111" s="17"/>
      <c r="AA111" s="17"/>
      <c r="AB111" s="17"/>
      <c r="AC111" s="17"/>
      <c r="AD111" s="17"/>
      <c r="AP111" s="4"/>
      <c r="AQ111" s="54"/>
      <c r="AR111" s="44"/>
      <c r="AS111" s="32"/>
      <c r="AT111" s="4"/>
      <c r="AU111" s="4"/>
      <c r="AV111" s="4"/>
      <c r="AW111" s="55"/>
      <c r="AX111" s="56"/>
      <c r="AY111" s="34"/>
      <c r="AZ111" s="34"/>
      <c r="BA111" s="34"/>
      <c r="BB111" s="34"/>
      <c r="BC111" s="34"/>
      <c r="BD111" s="34"/>
      <c r="BE111" s="34"/>
      <c r="BF111" s="34"/>
      <c r="BG111" s="34"/>
      <c r="BH111" s="34"/>
      <c r="BI111" s="4"/>
      <c r="BJ111" s="4"/>
      <c r="BK111" s="4"/>
      <c r="BL111" s="17"/>
      <c r="BM111" s="17"/>
      <c r="BN111" s="17"/>
      <c r="BO111" s="17"/>
      <c r="BP111" s="17"/>
      <c r="BQ111" s="17"/>
      <c r="BR111" s="17"/>
      <c r="BS111" s="66"/>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row>
    <row r="112" spans="1:151" ht="18" hidden="1" x14ac:dyDescent="0.2">
      <c r="A112" s="165">
        <f t="shared" si="7"/>
        <v>0</v>
      </c>
      <c r="B112" s="357"/>
      <c r="C112" s="160"/>
      <c r="D112" s="160"/>
      <c r="E112" s="160"/>
      <c r="F112" s="160"/>
      <c r="G112" s="160"/>
      <c r="H112" s="160"/>
      <c r="I112" s="160"/>
      <c r="J112" s="222"/>
      <c r="K112" s="222"/>
      <c r="L112" s="191"/>
      <c r="M112" s="191"/>
      <c r="N112" s="160"/>
      <c r="O112" s="160"/>
      <c r="P112" s="160"/>
      <c r="Q112" s="160"/>
      <c r="R112" s="63"/>
      <c r="S112" s="17"/>
      <c r="T112" s="17"/>
      <c r="U112" s="17"/>
      <c r="V112" s="17"/>
      <c r="W112" s="17"/>
      <c r="X112" s="17"/>
      <c r="Y112" s="17"/>
      <c r="Z112" s="17"/>
      <c r="AA112" s="17"/>
      <c r="AB112" s="17"/>
      <c r="AC112" s="17"/>
      <c r="AD112" s="17"/>
      <c r="AP112" s="4"/>
      <c r="AQ112" s="54"/>
      <c r="AR112" s="44"/>
      <c r="AS112" s="32"/>
      <c r="AT112" s="4"/>
      <c r="AU112" s="4"/>
      <c r="AV112" s="4"/>
      <c r="AW112" s="55"/>
      <c r="AX112" s="56"/>
      <c r="AY112" s="34"/>
      <c r="AZ112" s="34"/>
      <c r="BA112" s="34"/>
      <c r="BB112" s="34"/>
      <c r="BC112" s="34"/>
      <c r="BD112" s="34"/>
      <c r="BE112" s="34"/>
      <c r="BF112" s="34"/>
      <c r="BG112" s="34"/>
      <c r="BH112" s="34"/>
      <c r="BI112" s="4"/>
      <c r="BJ112" s="4"/>
      <c r="BK112" s="4"/>
      <c r="BL112" s="17"/>
      <c r="BM112" s="17"/>
      <c r="BN112" s="17"/>
      <c r="BO112" s="17"/>
      <c r="BP112" s="17"/>
      <c r="BQ112" s="17"/>
      <c r="BR112" s="17"/>
      <c r="BS112" s="66"/>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row>
    <row r="113" spans="1:151" s="17" customFormat="1" ht="18" hidden="1" customHeight="1" x14ac:dyDescent="0.2">
      <c r="A113" s="165">
        <f t="shared" si="7"/>
        <v>0</v>
      </c>
      <c r="B113" s="357"/>
      <c r="C113" s="289"/>
      <c r="D113" s="294" t="s">
        <v>65</v>
      </c>
      <c r="E113" s="294"/>
      <c r="F113" s="326">
        <v>0.2</v>
      </c>
      <c r="G113" s="289"/>
      <c r="H113" s="289" t="s">
        <v>66</v>
      </c>
      <c r="I113" s="289"/>
      <c r="J113" s="289"/>
      <c r="K113" s="353" t="s">
        <v>45</v>
      </c>
      <c r="L113" s="353"/>
      <c r="M113" s="327"/>
      <c r="N113" s="294" t="s">
        <v>43</v>
      </c>
      <c r="O113" s="294"/>
      <c r="P113" s="289"/>
      <c r="Q113" s="203"/>
      <c r="R113" s="135"/>
      <c r="U113" s="67">
        <v>9.5</v>
      </c>
      <c r="V113" s="68">
        <v>4.0999999999999996</v>
      </c>
      <c r="AF113" s="104">
        <f>$AR$5</f>
        <v>1</v>
      </c>
      <c r="AG113" s="105">
        <f>AF113*1.05</f>
        <v>1.05</v>
      </c>
      <c r="AH113" s="106">
        <v>1.9</v>
      </c>
      <c r="AI113" s="107">
        <f>E12</f>
        <v>0.1</v>
      </c>
      <c r="AJ113" s="107">
        <f>AI113/AH113</f>
        <v>5.2631578947368425E-2</v>
      </c>
      <c r="AK113" s="107">
        <f>AI113-AJ113</f>
        <v>4.736842105263158E-2</v>
      </c>
      <c r="AL113" s="108">
        <f>SUM(AM113:AN113)</f>
        <v>0.21000000000000002</v>
      </c>
      <c r="AM113" s="108">
        <f>D114/K119</f>
        <v>0.10500000000000001</v>
      </c>
      <c r="AN113" s="108">
        <f>D114-AM113</f>
        <v>0.10500000000000001</v>
      </c>
      <c r="AP113" s="4"/>
      <c r="AQ113" s="54"/>
      <c r="AR113" s="44"/>
      <c r="AS113" s="32"/>
      <c r="AT113" s="4"/>
      <c r="AU113" s="4"/>
      <c r="AV113" s="4"/>
      <c r="AW113" s="55"/>
      <c r="AX113" s="56"/>
      <c r="AY113" s="34"/>
      <c r="AZ113" s="34"/>
      <c r="BA113" s="34"/>
      <c r="BB113" s="34"/>
      <c r="BC113" s="34"/>
      <c r="BD113" s="34"/>
      <c r="BE113" s="34"/>
      <c r="BF113" s="34"/>
      <c r="BG113" s="34"/>
      <c r="BH113" s="34"/>
      <c r="BI113" s="4"/>
      <c r="BJ113" s="4"/>
      <c r="BK113" s="4"/>
      <c r="BS113" s="66"/>
    </row>
    <row r="114" spans="1:151" s="17" customFormat="1" ht="18" hidden="1" customHeight="1" x14ac:dyDescent="0.2">
      <c r="A114" s="165">
        <f t="shared" si="7"/>
        <v>0</v>
      </c>
      <c r="B114" s="357"/>
      <c r="C114" s="289"/>
      <c r="D114" s="334">
        <f>F113*AG113</f>
        <v>0.21000000000000002</v>
      </c>
      <c r="E114" s="334"/>
      <c r="F114" s="289"/>
      <c r="G114" s="289"/>
      <c r="H114" s="358">
        <f>IF(K119="","TA ASG ?",AG113-AM113+AJ113-K114)</f>
        <v>0.99763157894736854</v>
      </c>
      <c r="I114" s="358"/>
      <c r="J114" s="289"/>
      <c r="K114" s="354">
        <f>$AU$6</f>
        <v>0</v>
      </c>
      <c r="L114" s="354"/>
      <c r="M114" s="289"/>
      <c r="N114" s="328">
        <f>IF(K119="","TA ASG ?",(AG113*(AH113-1))-AN113+AK113)</f>
        <v>0.88736842105263158</v>
      </c>
      <c r="O114" s="329"/>
      <c r="P114" s="289"/>
      <c r="Q114" s="203"/>
      <c r="R114" s="124"/>
      <c r="AP114" s="4"/>
      <c r="AQ114" s="54"/>
      <c r="AR114" s="44"/>
      <c r="AS114" s="32"/>
      <c r="AT114" s="4"/>
      <c r="AU114" s="4"/>
      <c r="AV114" s="4"/>
      <c r="AW114" s="55"/>
      <c r="AX114" s="56"/>
      <c r="AY114" s="34"/>
      <c r="AZ114" s="34"/>
      <c r="BA114" s="34"/>
      <c r="BB114" s="34"/>
      <c r="BC114" s="34"/>
      <c r="BD114" s="34"/>
      <c r="BE114" s="34"/>
      <c r="BF114" s="34"/>
      <c r="BG114" s="34"/>
      <c r="BH114" s="34"/>
      <c r="BI114" s="4"/>
      <c r="BJ114" s="4"/>
      <c r="BK114" s="4"/>
      <c r="BS114" s="66"/>
    </row>
    <row r="115" spans="1:151" ht="18" hidden="1" x14ac:dyDescent="0.2">
      <c r="A115" s="165">
        <f t="shared" si="7"/>
        <v>0</v>
      </c>
      <c r="B115" s="357"/>
      <c r="C115" s="160"/>
      <c r="D115" s="160"/>
      <c r="E115" s="160"/>
      <c r="F115" s="160"/>
      <c r="G115" s="160"/>
      <c r="H115" s="160"/>
      <c r="I115" s="231" t="str">
        <f>IF(A112&lt;&gt;1,"",IF(I114&lt;0,101%,K114/SUM(I114,K114)))</f>
        <v/>
      </c>
      <c r="J115" s="160"/>
      <c r="K115" s="160"/>
      <c r="L115" s="160"/>
      <c r="M115" s="160"/>
      <c r="N115" s="160"/>
      <c r="O115" s="160"/>
      <c r="P115" s="160"/>
      <c r="Q115" s="160"/>
      <c r="R115" s="63"/>
      <c r="S115" s="17"/>
      <c r="T115" s="82">
        <f>IF(I115&lt;&gt;"",I115,0)</f>
        <v>0</v>
      </c>
      <c r="U115" s="109" t="str">
        <f>IF(A112&lt;&gt;1,"",IF(K114&gt;H114,"MEHR ALS DIE HÄLFTE DES MEHLANTEILS",""))</f>
        <v/>
      </c>
      <c r="V115" s="17"/>
      <c r="W115" s="17"/>
      <c r="X115" s="17"/>
      <c r="Y115" s="17"/>
      <c r="Z115" s="17"/>
      <c r="AA115" s="17"/>
      <c r="AB115" s="17"/>
      <c r="AC115" s="17"/>
      <c r="AD115" s="17"/>
      <c r="AP115" s="4"/>
      <c r="AQ115" s="54"/>
      <c r="AR115" s="44"/>
      <c r="AS115" s="32"/>
      <c r="AT115" s="4"/>
      <c r="AU115" s="4"/>
      <c r="AV115" s="4"/>
      <c r="AW115" s="55"/>
      <c r="AX115" s="56"/>
      <c r="AY115" s="34"/>
      <c r="AZ115" s="34"/>
      <c r="BA115" s="34"/>
      <c r="BB115" s="34"/>
      <c r="BC115" s="34"/>
      <c r="BD115" s="34"/>
      <c r="BE115" s="34"/>
      <c r="BF115" s="34"/>
      <c r="BG115" s="34"/>
      <c r="BH115" s="34"/>
      <c r="BI115" s="4"/>
      <c r="BJ115" s="4"/>
      <c r="BK115" s="4"/>
      <c r="BL115" s="17"/>
      <c r="BM115" s="17"/>
      <c r="BN115" s="17"/>
      <c r="BO115" s="17"/>
      <c r="BP115" s="17"/>
      <c r="BQ115" s="17"/>
      <c r="BR115" s="17"/>
      <c r="BS115" s="66"/>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row>
    <row r="116" spans="1:151" ht="18" hidden="1" x14ac:dyDescent="0.2">
      <c r="A116" s="165">
        <f t="shared" si="7"/>
        <v>0</v>
      </c>
      <c r="B116" s="357"/>
      <c r="C116" s="160"/>
      <c r="D116" s="160"/>
      <c r="E116" s="223" t="s">
        <v>79</v>
      </c>
      <c r="F116" s="232"/>
      <c r="G116" s="232"/>
      <c r="H116" s="232"/>
      <c r="I116" s="232"/>
      <c r="J116" s="232"/>
      <c r="K116" s="232"/>
      <c r="L116" s="160"/>
      <c r="M116" s="160"/>
      <c r="N116" s="168"/>
      <c r="O116" s="160"/>
      <c r="P116" s="160"/>
      <c r="Q116" s="160"/>
      <c r="R116" s="63"/>
      <c r="S116" s="17"/>
      <c r="T116" s="17"/>
      <c r="U116" s="17"/>
      <c r="V116" s="17"/>
      <c r="W116" s="17"/>
      <c r="X116" s="17"/>
      <c r="Y116" s="17"/>
      <c r="Z116" s="17"/>
      <c r="AA116" s="17"/>
      <c r="AB116" s="17"/>
      <c r="AC116" s="17"/>
      <c r="AD116" s="17"/>
      <c r="AP116" s="4"/>
      <c r="AQ116" s="54"/>
      <c r="AR116" s="44"/>
      <c r="AS116" s="32"/>
      <c r="AT116" s="4"/>
      <c r="AU116" s="4"/>
      <c r="AV116" s="4"/>
      <c r="AW116" s="55"/>
      <c r="AX116" s="56"/>
      <c r="AY116" s="34"/>
      <c r="AZ116" s="34"/>
      <c r="BA116" s="34"/>
      <c r="BB116" s="34"/>
      <c r="BC116" s="34"/>
      <c r="BD116" s="34"/>
      <c r="BE116" s="34"/>
      <c r="BF116" s="34"/>
      <c r="BG116" s="34"/>
      <c r="BH116" s="34"/>
      <c r="BI116" s="4"/>
      <c r="BJ116" s="4"/>
      <c r="BK116" s="4"/>
      <c r="BL116" s="17"/>
      <c r="BM116" s="17"/>
      <c r="BN116" s="17"/>
      <c r="BO116" s="17"/>
      <c r="BP116" s="17"/>
      <c r="BQ116" s="17"/>
      <c r="BR116" s="17"/>
      <c r="BS116" s="66"/>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row>
    <row r="117" spans="1:151" ht="17.25" hidden="1" customHeight="1" thickBot="1" x14ac:dyDescent="0.25">
      <c r="A117" s="165">
        <f t="shared" si="7"/>
        <v>0</v>
      </c>
      <c r="B117" s="357"/>
      <c r="C117" s="160"/>
      <c r="D117" s="160"/>
      <c r="E117" s="234" t="s">
        <v>92</v>
      </c>
      <c r="F117" s="197"/>
      <c r="G117" s="197"/>
      <c r="H117" s="197"/>
      <c r="I117" s="197"/>
      <c r="J117" s="197"/>
      <c r="K117" s="197"/>
      <c r="L117" s="160"/>
      <c r="M117" s="258" t="str">
        <f>"IST-TEMPERATUR"</f>
        <v>IST-TEMPERATUR</v>
      </c>
      <c r="N117" s="125">
        <v>26</v>
      </c>
      <c r="O117" s="243"/>
      <c r="P117" s="160"/>
      <c r="Q117" s="160"/>
      <c r="R117" s="63"/>
      <c r="S117" s="17"/>
      <c r="T117" s="17"/>
      <c r="U117" s="17"/>
      <c r="V117" s="17"/>
      <c r="W117" s="17"/>
      <c r="X117" s="17"/>
      <c r="Y117" s="17"/>
      <c r="Z117" s="17"/>
      <c r="AA117" s="17"/>
      <c r="AB117" s="17"/>
      <c r="AC117" s="17"/>
      <c r="AD117" s="17"/>
      <c r="AP117" s="4"/>
      <c r="AQ117" s="54"/>
      <c r="AR117" s="44"/>
      <c r="AS117" s="32"/>
      <c r="AT117" s="4"/>
      <c r="AU117" s="4"/>
      <c r="AV117" s="4"/>
      <c r="AW117" s="55"/>
      <c r="AX117" s="56"/>
      <c r="AY117" s="34"/>
      <c r="AZ117" s="34"/>
      <c r="BA117" s="34"/>
      <c r="BB117" s="34"/>
      <c r="BC117" s="34"/>
      <c r="BD117" s="34"/>
      <c r="BE117" s="34"/>
      <c r="BF117" s="34"/>
      <c r="BG117" s="34"/>
      <c r="BH117" s="34"/>
      <c r="BI117" s="4"/>
      <c r="BJ117" s="4"/>
      <c r="BK117" s="4"/>
      <c r="BL117" s="17"/>
      <c r="BM117" s="17"/>
      <c r="BN117" s="17"/>
      <c r="BO117" s="17"/>
      <c r="BP117" s="17"/>
      <c r="BQ117" s="17"/>
      <c r="BR117" s="17"/>
      <c r="BS117" s="66"/>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row>
    <row r="118" spans="1:151" ht="14.25" hidden="1" customHeight="1" x14ac:dyDescent="0.2">
      <c r="A118" s="165">
        <f t="shared" si="7"/>
        <v>0</v>
      </c>
      <c r="B118" s="357"/>
      <c r="C118" s="160"/>
      <c r="D118" s="160"/>
      <c r="E118" s="197"/>
      <c r="F118" s="197"/>
      <c r="G118" s="197"/>
      <c r="H118" s="197"/>
      <c r="I118" s="197"/>
      <c r="J118" s="197"/>
      <c r="K118" s="197"/>
      <c r="L118" s="160"/>
      <c r="M118" s="160"/>
      <c r="N118" s="245" t="str">
        <f>IF(N117="","",IF(N117&lt;26,"WÄRMER !",IF(N117&gt;36,"KÄLTER !","")))</f>
        <v/>
      </c>
      <c r="O118" s="160"/>
      <c r="P118" s="160"/>
      <c r="Q118" s="160"/>
      <c r="R118" s="63"/>
      <c r="S118" s="17"/>
      <c r="T118" s="17"/>
      <c r="U118" s="17"/>
      <c r="V118" s="17"/>
      <c r="W118" s="17"/>
      <c r="X118" s="17"/>
      <c r="Y118" s="17"/>
      <c r="Z118" s="17"/>
      <c r="AA118" s="17"/>
      <c r="AB118" s="17"/>
      <c r="AC118" s="17"/>
      <c r="AD118" s="17"/>
      <c r="AP118" s="4"/>
      <c r="AQ118" s="54"/>
      <c r="AR118" s="44"/>
      <c r="AS118" s="32"/>
      <c r="AT118" s="4"/>
      <c r="AU118" s="4"/>
      <c r="AV118" s="4"/>
      <c r="AW118" s="55"/>
      <c r="AX118" s="56"/>
      <c r="AY118" s="34"/>
      <c r="AZ118" s="34"/>
      <c r="BA118" s="34"/>
      <c r="BB118" s="34"/>
      <c r="BC118" s="34"/>
      <c r="BD118" s="34"/>
      <c r="BE118" s="34"/>
      <c r="BF118" s="34"/>
      <c r="BG118" s="34"/>
      <c r="BH118" s="34"/>
      <c r="BI118" s="4"/>
      <c r="BJ118" s="4"/>
      <c r="BK118" s="4"/>
      <c r="BL118" s="17"/>
      <c r="BM118" s="17"/>
      <c r="BN118" s="17"/>
      <c r="BO118" s="17"/>
      <c r="BP118" s="17"/>
      <c r="BQ118" s="17"/>
      <c r="BR118" s="17"/>
      <c r="BS118" s="66"/>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row>
    <row r="119" spans="1:151" ht="17.25" hidden="1" customHeight="1" thickBot="1" x14ac:dyDescent="0.25">
      <c r="A119" s="165">
        <f t="shared" si="7"/>
        <v>0</v>
      </c>
      <c r="B119" s="357"/>
      <c r="C119" s="160"/>
      <c r="D119" s="160"/>
      <c r="E119" s="159"/>
      <c r="F119" s="160"/>
      <c r="G119" s="160"/>
      <c r="H119" s="160"/>
      <c r="I119" s="160"/>
      <c r="J119" s="235" t="s">
        <v>80</v>
      </c>
      <c r="K119" s="137">
        <v>2</v>
      </c>
      <c r="L119" s="260" t="str">
        <f>IF(K119="","WERT EINTRAGEN",IF(OR(K119&lt;160%,K119&gt;300%),"SINNVOLLE TA EINGEBEN",""))</f>
        <v/>
      </c>
      <c r="M119" s="160"/>
      <c r="N119" s="160"/>
      <c r="O119" s="160"/>
      <c r="P119" s="160"/>
      <c r="Q119" s="160"/>
      <c r="R119" s="63"/>
      <c r="S119" s="17"/>
      <c r="T119" s="17"/>
      <c r="U119" s="17"/>
      <c r="V119" s="17"/>
      <c r="W119" s="17"/>
      <c r="X119" s="17"/>
      <c r="Y119" s="17"/>
      <c r="Z119" s="17"/>
      <c r="AA119" s="17"/>
      <c r="AB119" s="17"/>
      <c r="AC119" s="17"/>
      <c r="AD119" s="17"/>
      <c r="AP119" s="4"/>
      <c r="AQ119" s="54"/>
      <c r="AR119" s="44"/>
      <c r="AS119" s="32"/>
      <c r="AT119" s="4"/>
      <c r="AU119" s="4"/>
      <c r="AV119" s="4"/>
      <c r="AW119" s="55"/>
      <c r="AX119" s="56"/>
      <c r="AY119" s="34"/>
      <c r="AZ119" s="34"/>
      <c r="BA119" s="34"/>
      <c r="BB119" s="34"/>
      <c r="BC119" s="34"/>
      <c r="BD119" s="34"/>
      <c r="BE119" s="34"/>
      <c r="BF119" s="34"/>
      <c r="BG119" s="34"/>
      <c r="BH119" s="34"/>
      <c r="BI119" s="4"/>
      <c r="BJ119" s="4"/>
      <c r="BK119" s="4"/>
      <c r="BL119" s="17"/>
      <c r="BM119" s="17"/>
      <c r="BN119" s="17"/>
      <c r="BO119" s="17"/>
      <c r="BP119" s="17"/>
      <c r="BQ119" s="17"/>
      <c r="BR119" s="17"/>
      <c r="BS119" s="66"/>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row>
    <row r="120" spans="1:151" ht="7.5" hidden="1" customHeight="1" x14ac:dyDescent="0.2">
      <c r="A120" s="165">
        <f t="shared" si="7"/>
        <v>0</v>
      </c>
      <c r="B120" s="357"/>
      <c r="C120" s="160"/>
      <c r="D120" s="160"/>
      <c r="E120" s="160"/>
      <c r="F120" s="160"/>
      <c r="G120" s="160"/>
      <c r="H120" s="160"/>
      <c r="I120" s="160"/>
      <c r="J120" s="160"/>
      <c r="K120" s="160"/>
      <c r="L120" s="160"/>
      <c r="M120" s="160"/>
      <c r="N120" s="160"/>
      <c r="O120" s="160"/>
      <c r="P120" s="160"/>
      <c r="Q120" s="160"/>
      <c r="R120" s="63"/>
      <c r="S120" s="17"/>
      <c r="T120" s="17"/>
      <c r="U120" s="17"/>
      <c r="V120" s="17"/>
      <c r="W120" s="17"/>
      <c r="X120" s="17"/>
      <c r="Y120" s="17"/>
      <c r="Z120" s="17"/>
      <c r="AA120" s="17"/>
      <c r="AB120" s="17"/>
      <c r="AC120" s="17"/>
      <c r="AD120" s="17"/>
      <c r="AP120" s="4"/>
      <c r="AQ120" s="54"/>
      <c r="AR120" s="44"/>
      <c r="AS120" s="32"/>
      <c r="AT120" s="4"/>
      <c r="AU120" s="4"/>
      <c r="AV120" s="4"/>
      <c r="AW120" s="55"/>
      <c r="AX120" s="56"/>
      <c r="AY120" s="34"/>
      <c r="AZ120" s="34"/>
      <c r="BA120" s="34"/>
      <c r="BB120" s="34"/>
      <c r="BC120" s="34"/>
      <c r="BD120" s="34"/>
      <c r="BE120" s="34"/>
      <c r="BF120" s="34"/>
      <c r="BG120" s="34"/>
      <c r="BH120" s="34"/>
      <c r="BI120" s="4"/>
      <c r="BJ120" s="4"/>
      <c r="BK120" s="4"/>
      <c r="BL120" s="17"/>
      <c r="BM120" s="17"/>
      <c r="BN120" s="17"/>
      <c r="BO120" s="17"/>
      <c r="BP120" s="17"/>
      <c r="BQ120" s="17"/>
      <c r="BR120" s="17"/>
      <c r="BS120" s="66"/>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row>
    <row r="121" spans="1:151" ht="18" hidden="1" x14ac:dyDescent="0.2">
      <c r="A121" s="165">
        <f t="shared" si="7"/>
        <v>0</v>
      </c>
      <c r="B121" s="357"/>
      <c r="C121" s="160"/>
      <c r="D121" s="160"/>
      <c r="E121" s="194"/>
      <c r="F121" s="194"/>
      <c r="G121" s="218"/>
      <c r="H121" s="194"/>
      <c r="I121" s="160"/>
      <c r="J121" s="160"/>
      <c r="K121" s="160"/>
      <c r="M121" s="245"/>
      <c r="N121" s="245"/>
      <c r="O121" s="160"/>
      <c r="P121" s="160"/>
      <c r="Q121" s="160"/>
      <c r="R121" s="63"/>
      <c r="S121" s="17"/>
      <c r="T121" s="17"/>
      <c r="U121" s="17"/>
      <c r="V121" s="17"/>
      <c r="W121" s="17"/>
      <c r="X121" s="17"/>
      <c r="Y121" s="17"/>
      <c r="Z121" s="17"/>
      <c r="AA121" s="17"/>
      <c r="AB121" s="17"/>
      <c r="AC121" s="17"/>
      <c r="AD121" s="17"/>
      <c r="AP121" s="4"/>
      <c r="AQ121" s="54"/>
      <c r="AR121" s="44"/>
      <c r="AS121" s="32"/>
      <c r="AT121" s="4"/>
      <c r="AU121" s="4"/>
      <c r="AV121" s="4"/>
      <c r="AW121" s="55"/>
      <c r="AX121" s="56"/>
      <c r="AY121" s="34"/>
      <c r="AZ121" s="34"/>
      <c r="BA121" s="34"/>
      <c r="BB121" s="34"/>
      <c r="BC121" s="34"/>
      <c r="BD121" s="34"/>
      <c r="BE121" s="34"/>
      <c r="BF121" s="34"/>
      <c r="BG121" s="34"/>
      <c r="BH121" s="34"/>
      <c r="BI121" s="4"/>
      <c r="BJ121" s="4"/>
      <c r="BK121" s="4"/>
      <c r="BL121" s="17"/>
      <c r="BM121" s="17"/>
      <c r="BN121" s="17"/>
      <c r="BO121" s="17"/>
      <c r="BP121" s="17"/>
      <c r="BQ121" s="17"/>
      <c r="BR121" s="17"/>
      <c r="BS121" s="66"/>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row>
    <row r="122" spans="1:151" s="8" customFormat="1" ht="12" hidden="1" customHeight="1" x14ac:dyDescent="0.2">
      <c r="A122" s="165">
        <f t="shared" si="7"/>
        <v>0</v>
      </c>
      <c r="B122" s="357"/>
      <c r="C122" s="160"/>
      <c r="D122" s="194"/>
      <c r="E122" s="194"/>
      <c r="F122" s="194"/>
      <c r="G122" s="218"/>
      <c r="H122" s="194"/>
      <c r="I122" s="236"/>
      <c r="J122" s="160"/>
      <c r="K122" s="160"/>
      <c r="L122" s="245"/>
      <c r="M122" s="245"/>
      <c r="N122" s="245"/>
      <c r="O122" s="160"/>
      <c r="P122" s="160"/>
      <c r="Q122" s="160"/>
      <c r="R122" s="63"/>
      <c r="S122" s="17"/>
      <c r="T122" s="17"/>
      <c r="U122" s="17"/>
      <c r="V122" s="4"/>
      <c r="W122" s="17"/>
      <c r="X122" s="17"/>
      <c r="Y122" s="17"/>
      <c r="Z122" s="17"/>
      <c r="AA122" s="17"/>
      <c r="AB122" s="17"/>
      <c r="AC122" s="17"/>
      <c r="AD122" s="17"/>
      <c r="AP122" s="4"/>
      <c r="AQ122" s="54"/>
      <c r="AR122" s="44"/>
      <c r="AS122" s="32"/>
      <c r="AT122" s="4"/>
      <c r="AU122" s="4"/>
      <c r="AV122" s="4"/>
      <c r="AW122" s="55"/>
      <c r="AX122" s="56"/>
      <c r="AY122" s="34"/>
      <c r="AZ122" s="34"/>
      <c r="BA122" s="34"/>
      <c r="BB122" s="34"/>
      <c r="BC122" s="34"/>
      <c r="BD122" s="34"/>
      <c r="BE122" s="34"/>
      <c r="BF122" s="34"/>
      <c r="BG122" s="34"/>
      <c r="BH122" s="34"/>
      <c r="BI122" s="4"/>
      <c r="BJ122" s="4"/>
      <c r="BK122" s="4"/>
      <c r="BL122" s="4"/>
      <c r="BM122" s="4"/>
      <c r="BN122" s="4"/>
      <c r="BO122" s="4"/>
      <c r="BP122" s="4"/>
      <c r="BQ122" s="4"/>
      <c r="BR122" s="4"/>
      <c r="BS122" s="66"/>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row>
    <row r="123" spans="1:151" ht="18" hidden="1" x14ac:dyDescent="0.2">
      <c r="A123" s="165">
        <f t="shared" si="7"/>
        <v>0</v>
      </c>
      <c r="B123" s="357"/>
      <c r="C123" s="160"/>
      <c r="D123" s="159"/>
      <c r="E123" s="160"/>
      <c r="F123" s="237" t="str">
        <f>"DIE REIFEZEIT BETRÄGT"</f>
        <v>DIE REIFEZEIT BETRÄGT</v>
      </c>
      <c r="G123" s="238">
        <f>0.125+((35-N117)*0.0104166)</f>
        <v>0.21874939999999998</v>
      </c>
      <c r="H123" s="225" t="str">
        <f>"STUNDEN, BESSER JEDOCH EINE STUNDE MEHR (FÜR DEN GESCHMACK)"</f>
        <v>STUNDEN, BESSER JEDOCH EINE STUNDE MEHR (FÜR DEN GESCHMACK)</v>
      </c>
      <c r="I123" s="160"/>
      <c r="J123" s="225"/>
      <c r="K123" s="225"/>
      <c r="L123" s="225"/>
      <c r="M123" s="225"/>
      <c r="N123" s="160"/>
      <c r="O123" s="160"/>
      <c r="P123" s="160"/>
      <c r="Q123" s="160"/>
      <c r="R123" s="63"/>
      <c r="S123" s="17"/>
      <c r="T123" s="17"/>
      <c r="U123" s="17"/>
      <c r="V123" s="17"/>
      <c r="W123" s="17"/>
      <c r="X123" s="17"/>
      <c r="Y123" s="17"/>
      <c r="Z123" s="17"/>
      <c r="AA123" s="17"/>
      <c r="AB123" s="17"/>
      <c r="AC123" s="17"/>
      <c r="AD123" s="17"/>
      <c r="AP123" s="4"/>
      <c r="AQ123" s="54"/>
      <c r="AR123" s="44"/>
      <c r="AS123" s="32"/>
      <c r="AT123" s="4"/>
      <c r="AU123" s="4"/>
      <c r="AV123" s="4"/>
      <c r="AW123" s="55"/>
      <c r="AX123" s="56"/>
      <c r="AY123" s="34"/>
      <c r="AZ123" s="34"/>
      <c r="BA123" s="34"/>
      <c r="BB123" s="34"/>
      <c r="BC123" s="34"/>
      <c r="BD123" s="34"/>
      <c r="BE123" s="34"/>
      <c r="BF123" s="34"/>
      <c r="BG123" s="34"/>
      <c r="BH123" s="34"/>
      <c r="BI123" s="4"/>
      <c r="BJ123" s="4"/>
      <c r="BK123" s="4"/>
      <c r="BL123" s="17"/>
      <c r="BM123" s="17"/>
      <c r="BN123" s="17"/>
      <c r="BO123" s="17"/>
      <c r="BP123" s="17"/>
      <c r="BQ123" s="17"/>
      <c r="BR123" s="17"/>
      <c r="BS123" s="66"/>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row>
    <row r="124" spans="1:151" ht="18" hidden="1" x14ac:dyDescent="0.2">
      <c r="A124" s="165">
        <f t="shared" si="7"/>
        <v>0</v>
      </c>
      <c r="B124" s="357"/>
      <c r="C124" s="160"/>
      <c r="D124" s="160"/>
      <c r="E124" s="160"/>
      <c r="F124" s="160"/>
      <c r="G124" s="160"/>
      <c r="H124" s="160"/>
      <c r="I124" s="160"/>
      <c r="J124" s="160"/>
      <c r="K124" s="160"/>
      <c r="L124" s="160"/>
      <c r="M124" s="160"/>
      <c r="N124" s="160"/>
      <c r="O124" s="160"/>
      <c r="P124" s="160"/>
      <c r="Q124" s="160"/>
      <c r="R124" s="63"/>
      <c r="S124" s="17"/>
      <c r="T124" s="17"/>
      <c r="U124" s="17"/>
      <c r="V124" s="17"/>
      <c r="W124" s="17"/>
      <c r="X124" s="17"/>
      <c r="Y124" s="17"/>
      <c r="Z124" s="17"/>
      <c r="AA124" s="17"/>
      <c r="AB124" s="17"/>
      <c r="AC124" s="17"/>
      <c r="AD124" s="17"/>
      <c r="AP124" s="4"/>
      <c r="AQ124" s="54"/>
      <c r="AR124" s="44"/>
      <c r="AS124" s="32"/>
      <c r="AT124" s="4"/>
      <c r="AU124" s="4"/>
      <c r="AV124" s="4"/>
      <c r="AW124" s="55"/>
      <c r="AX124" s="56"/>
      <c r="AY124" s="34"/>
      <c r="AZ124" s="34"/>
      <c r="BA124" s="34"/>
      <c r="BB124" s="34"/>
      <c r="BC124" s="34"/>
      <c r="BD124" s="34"/>
      <c r="BE124" s="34"/>
      <c r="BF124" s="34"/>
      <c r="BG124" s="34"/>
      <c r="BH124" s="34"/>
      <c r="BI124" s="4"/>
      <c r="BJ124" s="4"/>
      <c r="BK124" s="4"/>
      <c r="BL124" s="17"/>
      <c r="BM124" s="17"/>
      <c r="BN124" s="17"/>
      <c r="BO124" s="17"/>
      <c r="BP124" s="17"/>
      <c r="BQ124" s="17"/>
      <c r="BR124" s="17"/>
      <c r="BS124" s="66"/>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row>
    <row r="125" spans="1:151" ht="18" hidden="1" x14ac:dyDescent="0.2">
      <c r="A125" s="165">
        <f t="shared" si="7"/>
        <v>0</v>
      </c>
      <c r="B125" s="48"/>
      <c r="C125" s="160"/>
      <c r="D125" s="160"/>
      <c r="E125" s="160"/>
      <c r="F125" s="160"/>
      <c r="G125" s="160"/>
      <c r="H125" s="239"/>
      <c r="I125" s="160"/>
      <c r="J125" s="240"/>
      <c r="K125" s="144"/>
      <c r="L125" s="160"/>
      <c r="M125" s="160"/>
      <c r="N125" s="160"/>
      <c r="O125" s="160"/>
      <c r="P125" s="160"/>
      <c r="Q125" s="160"/>
      <c r="R125" s="63"/>
      <c r="S125" s="111"/>
      <c r="T125" s="111"/>
      <c r="U125" s="111"/>
      <c r="V125" s="17"/>
      <c r="W125" s="111"/>
      <c r="X125" s="17"/>
      <c r="Y125" s="17"/>
      <c r="Z125" s="17"/>
      <c r="AA125" s="17"/>
      <c r="AB125" s="17"/>
      <c r="AC125" s="17"/>
      <c r="AD125" s="17"/>
      <c r="AP125" s="4"/>
      <c r="AQ125" s="54"/>
      <c r="AR125" s="44"/>
      <c r="AS125" s="32"/>
      <c r="AT125" s="4"/>
      <c r="AU125" s="4"/>
      <c r="AV125" s="4"/>
      <c r="AW125" s="55"/>
      <c r="AX125" s="56"/>
      <c r="AY125" s="34"/>
      <c r="AZ125" s="34"/>
      <c r="BA125" s="34"/>
      <c r="BB125" s="34"/>
      <c r="BC125" s="34"/>
      <c r="BD125" s="34"/>
      <c r="BE125" s="34"/>
      <c r="BF125" s="34"/>
      <c r="BG125" s="34"/>
      <c r="BH125" s="34"/>
      <c r="BI125" s="4"/>
      <c r="BJ125" s="4"/>
      <c r="BK125" s="4"/>
      <c r="BL125" s="17"/>
      <c r="BM125" s="17"/>
      <c r="BN125" s="17"/>
      <c r="BO125" s="17"/>
      <c r="BP125" s="17"/>
      <c r="BQ125" s="17"/>
      <c r="BR125" s="17"/>
      <c r="BS125" s="66"/>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row>
    <row r="126" spans="1:151" ht="22.5" hidden="1" customHeight="1" x14ac:dyDescent="0.2">
      <c r="A126" s="165">
        <f t="shared" ref="A126:A142" si="8">IF(SAUERKÜRZEL=$B$126,1,0)</f>
        <v>0</v>
      </c>
      <c r="B126" s="357" t="s">
        <v>20</v>
      </c>
      <c r="C126" s="144"/>
      <c r="D126" s="144"/>
      <c r="E126" s="259" t="s">
        <v>39</v>
      </c>
      <c r="F126" s="160"/>
      <c r="G126" s="160"/>
      <c r="H126" s="160"/>
      <c r="I126" s="160"/>
      <c r="J126" s="160"/>
      <c r="K126" s="160"/>
      <c r="L126" s="160"/>
      <c r="M126" s="160"/>
      <c r="N126" s="241"/>
      <c r="O126" s="241"/>
      <c r="P126" s="160"/>
      <c r="Q126" s="160"/>
      <c r="R126" s="63"/>
      <c r="S126" s="17"/>
      <c r="T126" s="17"/>
      <c r="W126" s="17"/>
      <c r="X126" s="17"/>
      <c r="Y126" s="17"/>
      <c r="Z126" s="17"/>
      <c r="AA126" s="17"/>
      <c r="AB126" s="17"/>
      <c r="AC126" s="17"/>
      <c r="AD126" s="17"/>
      <c r="AP126" s="4"/>
      <c r="AQ126" s="54"/>
      <c r="AR126" s="44"/>
      <c r="AS126" s="32"/>
      <c r="AT126" s="4"/>
      <c r="AU126" s="4"/>
      <c r="AV126" s="4"/>
      <c r="AW126" s="55"/>
      <c r="AX126" s="56"/>
      <c r="AY126" s="34"/>
      <c r="AZ126" s="34"/>
      <c r="BA126" s="34"/>
      <c r="BB126" s="34"/>
      <c r="BC126" s="34"/>
      <c r="BD126" s="34"/>
      <c r="BE126" s="34"/>
      <c r="BF126" s="34"/>
      <c r="BG126" s="34"/>
      <c r="BH126" s="34"/>
      <c r="BI126" s="4"/>
      <c r="BJ126" s="4"/>
      <c r="BK126" s="4"/>
      <c r="BL126" s="17"/>
      <c r="BM126" s="17"/>
      <c r="BN126" s="17"/>
      <c r="BO126" s="17"/>
      <c r="BP126" s="17"/>
      <c r="BQ126" s="17"/>
      <c r="BR126" s="17"/>
      <c r="BS126" s="66"/>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row>
    <row r="127" spans="1:151" ht="18" hidden="1" x14ac:dyDescent="0.2">
      <c r="A127" s="165">
        <f t="shared" si="8"/>
        <v>0</v>
      </c>
      <c r="B127" s="357"/>
      <c r="C127" s="160"/>
      <c r="D127" s="160"/>
      <c r="E127" s="160"/>
      <c r="F127" s="160"/>
      <c r="G127" s="160"/>
      <c r="H127" s="160"/>
      <c r="I127" s="160"/>
      <c r="J127" s="160"/>
      <c r="K127" s="160"/>
      <c r="L127" s="160"/>
      <c r="M127" s="160"/>
      <c r="N127" s="160"/>
      <c r="O127" s="160"/>
      <c r="P127" s="160"/>
      <c r="Q127" s="160"/>
      <c r="R127" s="63"/>
      <c r="S127" s="17"/>
      <c r="T127" s="17"/>
      <c r="U127" s="67">
        <v>20</v>
      </c>
      <c r="V127" s="68">
        <v>3.6</v>
      </c>
      <c r="W127" s="17"/>
      <c r="X127" s="17"/>
      <c r="Y127" s="17"/>
      <c r="Z127" s="17"/>
      <c r="AA127" s="17"/>
      <c r="AB127" s="17"/>
      <c r="AC127" s="17"/>
      <c r="AD127" s="17"/>
      <c r="AF127" s="104">
        <f>$AR$5</f>
        <v>1</v>
      </c>
      <c r="AG127" s="105">
        <f>AF127*1.05</f>
        <v>1.05</v>
      </c>
      <c r="AH127" s="106">
        <f>2*BA1</f>
        <v>2</v>
      </c>
      <c r="AI127" s="107">
        <f>E12</f>
        <v>0.1</v>
      </c>
      <c r="AJ127" s="107">
        <f>AI127/AH127</f>
        <v>0.05</v>
      </c>
      <c r="AK127" s="107">
        <f>AI127-AJ127</f>
        <v>0.05</v>
      </c>
      <c r="AL127" s="108">
        <f>SUM(AM127:AN127)</f>
        <v>0.21000000000000002</v>
      </c>
      <c r="AM127" s="108">
        <f>D129/N131</f>
        <v>0.10500000000000001</v>
      </c>
      <c r="AN127" s="108">
        <f>D129-AM127</f>
        <v>0.10500000000000001</v>
      </c>
      <c r="AP127" s="4"/>
      <c r="AQ127" s="54"/>
      <c r="AR127" s="44"/>
      <c r="AS127" s="32"/>
      <c r="AT127" s="4"/>
      <c r="AU127" s="4"/>
      <c r="AV127" s="4"/>
      <c r="AW127" s="55"/>
      <c r="AX127" s="56"/>
      <c r="AY127" s="34"/>
      <c r="AZ127" s="34"/>
      <c r="BA127" s="34"/>
      <c r="BB127" s="34"/>
      <c r="BC127" s="34"/>
      <c r="BD127" s="34"/>
      <c r="BE127" s="34"/>
      <c r="BF127" s="34"/>
      <c r="BG127" s="34"/>
      <c r="BH127" s="34"/>
      <c r="BI127" s="4"/>
      <c r="BJ127" s="4"/>
      <c r="BK127" s="4"/>
      <c r="BL127" s="17"/>
      <c r="BM127" s="17"/>
      <c r="BN127" s="17"/>
      <c r="BO127" s="17"/>
      <c r="BP127" s="17"/>
      <c r="BQ127" s="17"/>
      <c r="BR127" s="17"/>
      <c r="BS127" s="66"/>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c r="EO127" s="17"/>
      <c r="EP127" s="17"/>
      <c r="EQ127" s="17"/>
      <c r="ER127" s="17"/>
      <c r="ES127" s="17"/>
      <c r="ET127" s="17"/>
      <c r="EU127" s="17"/>
    </row>
    <row r="128" spans="1:151" s="17" customFormat="1" ht="17.25" hidden="1" customHeight="1" x14ac:dyDescent="0.2">
      <c r="A128" s="165">
        <f t="shared" si="8"/>
        <v>0</v>
      </c>
      <c r="B128" s="357"/>
      <c r="C128" s="203"/>
      <c r="D128" s="207" t="s">
        <v>65</v>
      </c>
      <c r="E128" s="207"/>
      <c r="F128" s="233">
        <v>0.2</v>
      </c>
      <c r="G128" s="207"/>
      <c r="H128" s="207" t="s">
        <v>66</v>
      </c>
      <c r="I128" s="207"/>
      <c r="J128" s="356" t="s">
        <v>45</v>
      </c>
      <c r="K128" s="356"/>
      <c r="L128" s="207" t="s">
        <v>43</v>
      </c>
      <c r="M128" s="207"/>
      <c r="N128" s="207" t="s">
        <v>44</v>
      </c>
      <c r="O128" s="207"/>
      <c r="P128" s="203"/>
      <c r="Q128" s="203"/>
      <c r="R128" s="124"/>
      <c r="AJ128" s="112" t="s">
        <v>6</v>
      </c>
      <c r="AK128" s="113">
        <f>AJ127*N137</f>
        <v>1E-3</v>
      </c>
      <c r="AM128" s="114" t="s">
        <v>6</v>
      </c>
      <c r="AN128" s="113">
        <f>AM127*N133</f>
        <v>2.1000000000000003E-3</v>
      </c>
      <c r="AP128" s="4"/>
      <c r="AQ128" s="54"/>
      <c r="AR128" s="44"/>
      <c r="AS128" s="32"/>
      <c r="AT128" s="4"/>
      <c r="AU128" s="4"/>
      <c r="AV128" s="4"/>
      <c r="AW128" s="55"/>
      <c r="AX128" s="56"/>
      <c r="AY128" s="34"/>
      <c r="AZ128" s="34"/>
      <c r="BA128" s="34"/>
      <c r="BB128" s="34"/>
      <c r="BC128" s="34"/>
      <c r="BD128" s="34"/>
      <c r="BE128" s="34"/>
      <c r="BF128" s="34"/>
      <c r="BG128" s="34"/>
      <c r="BH128" s="34"/>
      <c r="BI128" s="4"/>
      <c r="BJ128" s="4"/>
      <c r="BK128" s="4"/>
      <c r="BS128" s="66"/>
    </row>
    <row r="129" spans="1:151" s="17" customFormat="1" ht="17.25" hidden="1" customHeight="1" x14ac:dyDescent="0.2">
      <c r="A129" s="165">
        <f t="shared" si="8"/>
        <v>0</v>
      </c>
      <c r="B129" s="357"/>
      <c r="C129" s="289"/>
      <c r="D129" s="334">
        <f>F128*AG127</f>
        <v>0.21000000000000002</v>
      </c>
      <c r="E129" s="334"/>
      <c r="F129" s="289"/>
      <c r="G129" s="358">
        <f>IF(N131="","TA ASG ?",AG127-AM127-J129+AJ127)</f>
        <v>0.99500000000000011</v>
      </c>
      <c r="H129" s="358"/>
      <c r="I129" s="358"/>
      <c r="J129" s="354">
        <f>$AU$6</f>
        <v>0</v>
      </c>
      <c r="K129" s="354"/>
      <c r="L129" s="328">
        <f>IF(N131="","TA ASG ?",(AG127*(AH127-1))-AN127+AK127)</f>
        <v>0.99500000000000011</v>
      </c>
      <c r="M129" s="330"/>
      <c r="N129" s="330">
        <f>IF(N131="","TA ASG ?",N137*AF127-AN128)</f>
        <v>1.7899999999999999E-2</v>
      </c>
      <c r="O129" s="242"/>
      <c r="P129" s="203"/>
      <c r="Q129" s="203"/>
      <c r="R129" s="124"/>
      <c r="AP129" s="4"/>
      <c r="AQ129" s="54"/>
      <c r="AR129" s="44"/>
      <c r="AS129" s="32"/>
      <c r="AT129" s="4"/>
      <c r="AU129" s="4"/>
      <c r="AV129" s="4"/>
      <c r="AW129" s="55"/>
      <c r="AX129" s="56"/>
      <c r="AY129" s="34"/>
      <c r="AZ129" s="34"/>
      <c r="BA129" s="34"/>
      <c r="BB129" s="34"/>
      <c r="BC129" s="34"/>
      <c r="BD129" s="34"/>
      <c r="BE129" s="34"/>
      <c r="BF129" s="34"/>
      <c r="BG129" s="34"/>
      <c r="BH129" s="34"/>
      <c r="BI129" s="4"/>
      <c r="BJ129" s="4"/>
      <c r="BK129" s="4"/>
      <c r="BS129" s="66"/>
    </row>
    <row r="130" spans="1:151" ht="16.5" hidden="1" customHeight="1" x14ac:dyDescent="0.2">
      <c r="A130" s="165">
        <f t="shared" si="8"/>
        <v>0</v>
      </c>
      <c r="B130" s="357"/>
      <c r="C130" s="160"/>
      <c r="D130" s="220"/>
      <c r="E130" s="197"/>
      <c r="F130" s="220"/>
      <c r="G130" s="220"/>
      <c r="H130" s="231"/>
      <c r="I130" s="160"/>
      <c r="J130" s="231"/>
      <c r="K130" s="246"/>
      <c r="L130" s="191"/>
      <c r="M130" s="160"/>
      <c r="N130" s="168"/>
      <c r="O130" s="160"/>
      <c r="P130" s="160"/>
      <c r="Q130" s="160"/>
      <c r="R130" s="63"/>
      <c r="S130" s="17"/>
      <c r="T130" s="82">
        <f>IF(H130&lt;&gt;"",H130,0)</f>
        <v>0</v>
      </c>
      <c r="U130" s="109" t="str">
        <f>IF(A127&lt;&gt;1,"",IF(J129&gt;G129,"MEHR ALS DIE HÄLFTE DES MEHLANTEILS",""))</f>
        <v/>
      </c>
      <c r="V130" s="17"/>
      <c r="W130" s="17"/>
      <c r="X130" s="17"/>
      <c r="Y130" s="17"/>
      <c r="Z130" s="17"/>
      <c r="AA130" s="17"/>
      <c r="AB130" s="17"/>
      <c r="AC130" s="17"/>
      <c r="AD130" s="17"/>
      <c r="AP130" s="4"/>
      <c r="AQ130" s="54"/>
      <c r="AR130" s="44"/>
      <c r="AS130" s="32"/>
      <c r="AT130" s="4"/>
      <c r="AU130" s="4"/>
      <c r="AV130" s="4"/>
      <c r="AW130" s="55"/>
      <c r="AX130" s="56"/>
      <c r="AY130" s="34"/>
      <c r="AZ130" s="34"/>
      <c r="BA130" s="34"/>
      <c r="BB130" s="34"/>
      <c r="BC130" s="34"/>
      <c r="BD130" s="34"/>
      <c r="BE130" s="34"/>
      <c r="BF130" s="34"/>
      <c r="BG130" s="34"/>
      <c r="BH130" s="34"/>
      <c r="BI130" s="4"/>
      <c r="BJ130" s="4"/>
      <c r="BK130" s="4"/>
      <c r="BL130" s="17"/>
      <c r="BM130" s="17"/>
      <c r="BN130" s="17"/>
      <c r="BO130" s="17"/>
      <c r="BP130" s="17"/>
      <c r="BQ130" s="17"/>
      <c r="BR130" s="17"/>
      <c r="BS130" s="66"/>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c r="EU130" s="17"/>
    </row>
    <row r="131" spans="1:151" ht="17.25" hidden="1" customHeight="1" thickBot="1" x14ac:dyDescent="0.25">
      <c r="A131" s="165">
        <f t="shared" si="8"/>
        <v>0</v>
      </c>
      <c r="B131" s="357"/>
      <c r="C131" s="160"/>
      <c r="D131" s="221" t="s">
        <v>60</v>
      </c>
      <c r="E131" s="221"/>
      <c r="F131" s="221"/>
      <c r="G131" s="160"/>
      <c r="H131" s="160"/>
      <c r="I131" s="194"/>
      <c r="J131" s="194"/>
      <c r="K131" s="218"/>
      <c r="L131" s="250"/>
      <c r="M131" s="251" t="s">
        <v>80</v>
      </c>
      <c r="N131" s="137">
        <v>2</v>
      </c>
      <c r="O131" s="260" t="str">
        <f>IF(N131="","WERT EINTRAGEN",IF(OR(N131&lt;160%,N131&gt;300%),"SINNVOLLE TA EINGEBEN",""))</f>
        <v/>
      </c>
      <c r="P131" s="160"/>
      <c r="Q131" s="160"/>
      <c r="R131" s="63"/>
      <c r="S131" s="17"/>
      <c r="T131" s="17"/>
      <c r="U131" s="17"/>
      <c r="V131" s="17"/>
      <c r="W131" s="17"/>
      <c r="X131" s="17"/>
      <c r="Y131" s="17"/>
      <c r="Z131" s="17"/>
      <c r="AA131" s="17"/>
      <c r="AB131" s="17"/>
      <c r="AC131" s="17"/>
      <c r="AD131" s="17"/>
      <c r="AP131" s="4"/>
      <c r="AQ131" s="54"/>
      <c r="AR131" s="44"/>
      <c r="AS131" s="32"/>
      <c r="AT131" s="4"/>
      <c r="AU131" s="4"/>
      <c r="AV131" s="4"/>
      <c r="AW131" s="55"/>
      <c r="AX131" s="56"/>
      <c r="AY131" s="34"/>
      <c r="AZ131" s="34"/>
      <c r="BA131" s="34"/>
      <c r="BB131" s="34"/>
      <c r="BC131" s="34"/>
      <c r="BD131" s="34"/>
      <c r="BE131" s="34"/>
      <c r="BF131" s="34"/>
      <c r="BG131" s="34"/>
      <c r="BH131" s="34"/>
      <c r="BI131" s="4"/>
      <c r="BJ131" s="4"/>
      <c r="BK131" s="4"/>
      <c r="BL131" s="17"/>
      <c r="BM131" s="17"/>
      <c r="BN131" s="17"/>
      <c r="BO131" s="17"/>
      <c r="BP131" s="17"/>
      <c r="BQ131" s="17"/>
      <c r="BR131" s="17"/>
      <c r="BS131" s="66"/>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c r="EU131" s="17"/>
    </row>
    <row r="132" spans="1:151" s="8" customFormat="1" ht="7.5" hidden="1" customHeight="1" x14ac:dyDescent="0.2">
      <c r="A132" s="165">
        <f t="shared" si="8"/>
        <v>0</v>
      </c>
      <c r="B132" s="357"/>
      <c r="C132" s="160"/>
      <c r="D132" s="221"/>
      <c r="E132" s="221"/>
      <c r="F132" s="221"/>
      <c r="G132" s="160"/>
      <c r="H132" s="194"/>
      <c r="I132" s="194"/>
      <c r="J132" s="194"/>
      <c r="K132" s="218"/>
      <c r="L132" s="194"/>
      <c r="M132" s="160"/>
      <c r="N132" s="115"/>
      <c r="O132" s="160"/>
      <c r="P132" s="160"/>
      <c r="Q132" s="160"/>
      <c r="R132" s="63"/>
      <c r="S132" s="17"/>
      <c r="T132" s="17"/>
      <c r="U132" s="17"/>
      <c r="V132" s="4"/>
      <c r="W132" s="17"/>
      <c r="X132" s="17"/>
      <c r="Y132" s="17"/>
      <c r="Z132" s="17"/>
      <c r="AA132" s="17"/>
      <c r="AB132" s="17"/>
      <c r="AC132" s="17"/>
      <c r="AD132" s="17"/>
      <c r="AP132" s="4"/>
      <c r="AQ132" s="54"/>
      <c r="AR132" s="44"/>
      <c r="AS132" s="32"/>
      <c r="AT132" s="4"/>
      <c r="AU132" s="4"/>
      <c r="AV132" s="4"/>
      <c r="AW132" s="55"/>
      <c r="AX132" s="56"/>
      <c r="AY132" s="34"/>
      <c r="AZ132" s="34"/>
      <c r="BA132" s="34"/>
      <c r="BB132" s="34"/>
      <c r="BC132" s="34"/>
      <c r="BD132" s="34"/>
      <c r="BE132" s="34"/>
      <c r="BF132" s="34"/>
      <c r="BG132" s="34"/>
      <c r="BH132" s="34"/>
      <c r="BI132" s="4"/>
      <c r="BJ132" s="4"/>
      <c r="BK132" s="4"/>
      <c r="BL132" s="4"/>
      <c r="BM132" s="4"/>
      <c r="BN132" s="4"/>
      <c r="BO132" s="4"/>
      <c r="BP132" s="4"/>
      <c r="BQ132" s="4"/>
      <c r="BR132" s="4"/>
      <c r="BS132" s="66"/>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row>
    <row r="133" spans="1:151" ht="17.25" hidden="1" customHeight="1" thickBot="1" x14ac:dyDescent="0.25">
      <c r="A133" s="165">
        <f t="shared" si="8"/>
        <v>0</v>
      </c>
      <c r="B133" s="357"/>
      <c r="C133" s="160"/>
      <c r="D133" s="221"/>
      <c r="E133" s="221"/>
      <c r="F133" s="221"/>
      <c r="G133" s="160"/>
      <c r="H133" s="160"/>
      <c r="I133" s="218"/>
      <c r="J133" s="194"/>
      <c r="K133" s="194"/>
      <c r="L133" s="194"/>
      <c r="M133" s="251" t="s">
        <v>41</v>
      </c>
      <c r="N133" s="122">
        <v>0.02</v>
      </c>
      <c r="O133" s="160"/>
      <c r="P133" s="160"/>
      <c r="Q133" s="160"/>
      <c r="R133" s="63"/>
      <c r="S133" s="17"/>
      <c r="T133" s="17"/>
      <c r="U133" s="17"/>
      <c r="V133" s="17"/>
      <c r="W133" s="17"/>
      <c r="X133" s="17"/>
      <c r="Y133" s="17"/>
      <c r="Z133" s="17"/>
      <c r="AA133" s="17"/>
      <c r="AB133" s="17"/>
      <c r="AC133" s="17"/>
      <c r="AD133" s="17"/>
      <c r="AP133" s="4"/>
      <c r="AQ133" s="54"/>
      <c r="AR133" s="44"/>
      <c r="AS133" s="32"/>
      <c r="AT133" s="4"/>
      <c r="AU133" s="4"/>
      <c r="AV133" s="4"/>
      <c r="AW133" s="55"/>
      <c r="AX133" s="56"/>
      <c r="AY133" s="34"/>
      <c r="AZ133" s="34"/>
      <c r="BA133" s="34"/>
      <c r="BB133" s="34"/>
      <c r="BC133" s="34"/>
      <c r="BD133" s="34"/>
      <c r="BE133" s="34"/>
      <c r="BF133" s="34"/>
      <c r="BG133" s="34"/>
      <c r="BH133" s="34"/>
      <c r="BI133" s="4"/>
      <c r="BJ133" s="4"/>
      <c r="BK133" s="4"/>
      <c r="BL133" s="17"/>
      <c r="BM133" s="17"/>
      <c r="BN133" s="17"/>
      <c r="BO133" s="17"/>
      <c r="BP133" s="17"/>
      <c r="BQ133" s="17"/>
      <c r="BR133" s="17"/>
      <c r="BS133" s="66"/>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c r="EU133" s="17"/>
    </row>
    <row r="134" spans="1:151" ht="18" hidden="1" x14ac:dyDescent="0.2">
      <c r="A134" s="165">
        <f t="shared" si="8"/>
        <v>0</v>
      </c>
      <c r="B134" s="357"/>
      <c r="C134" s="160"/>
      <c r="D134" s="160"/>
      <c r="E134" s="160"/>
      <c r="F134" s="160"/>
      <c r="G134" s="160"/>
      <c r="H134" s="160"/>
      <c r="I134" s="160"/>
      <c r="J134" s="160"/>
      <c r="K134" s="160"/>
      <c r="L134" s="160"/>
      <c r="M134" s="160"/>
      <c r="N134" s="160"/>
      <c r="O134" s="160"/>
      <c r="P134" s="160"/>
      <c r="Q134" s="160"/>
      <c r="R134" s="63"/>
      <c r="S134" s="4"/>
      <c r="T134" s="4"/>
      <c r="U134" s="4"/>
      <c r="V134" s="17"/>
      <c r="W134" s="4"/>
      <c r="X134" s="4"/>
      <c r="Y134" s="4"/>
      <c r="Z134" s="4"/>
      <c r="AA134" s="4"/>
      <c r="AB134" s="17"/>
      <c r="AC134" s="17"/>
      <c r="AD134" s="4"/>
      <c r="AP134" s="4"/>
      <c r="AQ134" s="54"/>
      <c r="AR134" s="44"/>
      <c r="AS134" s="32"/>
      <c r="AT134" s="4"/>
      <c r="AU134" s="4"/>
      <c r="AV134" s="4"/>
      <c r="AW134" s="55"/>
      <c r="AX134" s="56"/>
      <c r="AY134" s="34"/>
      <c r="AZ134" s="34"/>
      <c r="BA134" s="34"/>
      <c r="BB134" s="34"/>
      <c r="BC134" s="34"/>
      <c r="BD134" s="34"/>
      <c r="BE134" s="34"/>
      <c r="BF134" s="34"/>
      <c r="BG134" s="34"/>
      <c r="BH134" s="34"/>
      <c r="BI134" s="4"/>
      <c r="BJ134" s="4"/>
      <c r="BK134" s="4"/>
      <c r="BL134" s="17"/>
      <c r="BM134" s="17"/>
      <c r="BN134" s="17"/>
      <c r="BO134" s="17"/>
      <c r="BP134" s="17"/>
      <c r="BQ134" s="17"/>
      <c r="BR134" s="17"/>
      <c r="BS134" s="66"/>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7"/>
      <c r="ER134" s="17"/>
      <c r="ES134" s="17"/>
      <c r="ET134" s="17"/>
      <c r="EU134" s="17"/>
    </row>
    <row r="135" spans="1:151" ht="16.5" hidden="1" customHeight="1" x14ac:dyDescent="0.2">
      <c r="A135" s="165">
        <f t="shared" si="8"/>
        <v>0</v>
      </c>
      <c r="B135" s="357"/>
      <c r="C135" s="160"/>
      <c r="D135" s="221" t="s">
        <v>81</v>
      </c>
      <c r="E135" s="221"/>
      <c r="F135" s="221"/>
      <c r="G135" s="160"/>
      <c r="H135" s="247" t="str">
        <f>"DIE TA DES SALZSAUERS LIEGT BEI  "&amp;AH127*100</f>
        <v>DIE TA DES SALZSAUERS LIEGT BEI  200</v>
      </c>
      <c r="I135" s="160"/>
      <c r="J135" s="160"/>
      <c r="K135" s="160"/>
      <c r="L135" s="160"/>
      <c r="M135" s="160"/>
      <c r="N135" s="160"/>
      <c r="O135" s="160"/>
      <c r="P135" s="160"/>
      <c r="Q135" s="160"/>
      <c r="R135" s="63"/>
      <c r="S135" s="17"/>
      <c r="T135" s="17"/>
      <c r="U135" s="17"/>
      <c r="V135" s="17"/>
      <c r="W135" s="17"/>
      <c r="X135" s="17"/>
      <c r="Y135" s="17"/>
      <c r="Z135" s="17"/>
      <c r="AA135" s="17"/>
      <c r="AB135" s="17"/>
      <c r="AC135" s="17"/>
      <c r="AD135" s="17"/>
      <c r="AP135" s="4"/>
      <c r="AQ135" s="54"/>
      <c r="AR135" s="44"/>
      <c r="AS135" s="32"/>
      <c r="AT135" s="4"/>
      <c r="AU135" s="4"/>
      <c r="AV135" s="4"/>
      <c r="AW135" s="55"/>
      <c r="AX135" s="56"/>
      <c r="AY135" s="34"/>
      <c r="AZ135" s="34"/>
      <c r="BA135" s="34"/>
      <c r="BB135" s="34"/>
      <c r="BC135" s="34"/>
      <c r="BD135" s="34"/>
      <c r="BE135" s="34"/>
      <c r="BF135" s="34"/>
      <c r="BG135" s="34"/>
      <c r="BH135" s="34"/>
      <c r="BI135" s="4"/>
      <c r="BJ135" s="4"/>
      <c r="BK135" s="4"/>
      <c r="BL135" s="17"/>
      <c r="BM135" s="17"/>
      <c r="BN135" s="17"/>
      <c r="BO135" s="17"/>
      <c r="BP135" s="17"/>
      <c r="BQ135" s="17"/>
      <c r="BR135" s="17"/>
      <c r="BS135" s="66"/>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7"/>
      <c r="ER135" s="17"/>
      <c r="ES135" s="17"/>
      <c r="ET135" s="17"/>
      <c r="EU135" s="17"/>
    </row>
    <row r="136" spans="1:151" ht="4.5" hidden="1" customHeight="1" x14ac:dyDescent="0.2">
      <c r="A136" s="165">
        <f t="shared" si="8"/>
        <v>0</v>
      </c>
      <c r="B136" s="357"/>
      <c r="C136" s="160"/>
      <c r="D136" s="221"/>
      <c r="E136" s="221"/>
      <c r="F136" s="221"/>
      <c r="G136" s="160"/>
      <c r="H136" s="160"/>
      <c r="I136" s="160"/>
      <c r="J136" s="160"/>
      <c r="K136" s="160"/>
      <c r="L136" s="160"/>
      <c r="M136" s="160"/>
      <c r="N136" s="168"/>
      <c r="O136" s="160"/>
      <c r="P136" s="160"/>
      <c r="Q136" s="160"/>
      <c r="R136" s="63"/>
      <c r="S136" s="17"/>
      <c r="T136" s="17"/>
      <c r="U136" s="17"/>
      <c r="V136" s="17"/>
      <c r="W136" s="17"/>
      <c r="X136" s="17"/>
      <c r="Y136" s="17"/>
      <c r="Z136" s="17"/>
      <c r="AA136" s="17"/>
      <c r="AB136" s="17"/>
      <c r="AC136" s="17"/>
      <c r="AD136" s="17"/>
      <c r="AP136" s="4"/>
      <c r="AQ136" s="54"/>
      <c r="AR136" s="44"/>
      <c r="AS136" s="32"/>
      <c r="AT136" s="4"/>
      <c r="AU136" s="4"/>
      <c r="AV136" s="4"/>
      <c r="AW136" s="55"/>
      <c r="AX136" s="56"/>
      <c r="AY136" s="34"/>
      <c r="AZ136" s="34"/>
      <c r="BA136" s="34"/>
      <c r="BB136" s="34"/>
      <c r="BC136" s="34"/>
      <c r="BD136" s="34"/>
      <c r="BE136" s="34"/>
      <c r="BF136" s="34"/>
      <c r="BG136" s="34"/>
      <c r="BH136" s="34"/>
      <c r="BI136" s="4"/>
      <c r="BJ136" s="4"/>
      <c r="BK136" s="4"/>
      <c r="BL136" s="17"/>
      <c r="BM136" s="17"/>
      <c r="BN136" s="17"/>
      <c r="BO136" s="17"/>
      <c r="BP136" s="17"/>
      <c r="BQ136" s="17"/>
      <c r="BR136" s="17"/>
      <c r="BS136" s="66"/>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7"/>
    </row>
    <row r="137" spans="1:151" ht="17.25" hidden="1" customHeight="1" thickBot="1" x14ac:dyDescent="0.25">
      <c r="A137" s="165">
        <f t="shared" si="8"/>
        <v>0</v>
      </c>
      <c r="B137" s="357"/>
      <c r="C137" s="160"/>
      <c r="D137" s="221"/>
      <c r="E137" s="221"/>
      <c r="F137" s="221"/>
      <c r="G137" s="160"/>
      <c r="H137" s="160"/>
      <c r="I137" s="248"/>
      <c r="J137" s="160"/>
      <c r="K137" s="160"/>
      <c r="L137" s="160"/>
      <c r="M137" s="252" t="s">
        <v>42</v>
      </c>
      <c r="N137" s="123">
        <v>0.02</v>
      </c>
      <c r="O137" s="160"/>
      <c r="P137" s="160"/>
      <c r="Q137" s="160"/>
      <c r="R137" s="63"/>
      <c r="S137" s="17"/>
      <c r="T137" s="17"/>
      <c r="U137" s="17"/>
      <c r="V137" s="17"/>
      <c r="W137" s="17"/>
      <c r="X137" s="17"/>
      <c r="Y137" s="17"/>
      <c r="Z137" s="17"/>
      <c r="AA137" s="17"/>
      <c r="AB137" s="17"/>
      <c r="AC137" s="17"/>
      <c r="AD137" s="17"/>
      <c r="AP137" s="4"/>
      <c r="AQ137" s="54"/>
      <c r="AR137" s="44"/>
      <c r="AS137" s="32"/>
      <c r="AT137" s="4"/>
      <c r="AU137" s="4"/>
      <c r="AV137" s="4"/>
      <c r="AW137" s="55"/>
      <c r="AX137" s="56"/>
      <c r="AY137" s="34"/>
      <c r="AZ137" s="34"/>
      <c r="BA137" s="34"/>
      <c r="BB137" s="34"/>
      <c r="BC137" s="34"/>
      <c r="BD137" s="34"/>
      <c r="BE137" s="34"/>
      <c r="BF137" s="34"/>
      <c r="BG137" s="34"/>
      <c r="BH137" s="34"/>
      <c r="BI137" s="4"/>
      <c r="BJ137" s="4"/>
      <c r="BK137" s="4"/>
      <c r="BL137" s="17"/>
      <c r="BM137" s="17"/>
      <c r="BN137" s="17"/>
      <c r="BO137" s="17"/>
      <c r="BP137" s="17"/>
      <c r="BQ137" s="17"/>
      <c r="BR137" s="17"/>
      <c r="BS137" s="66"/>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17"/>
      <c r="EI137" s="17"/>
      <c r="EJ137" s="17"/>
      <c r="EK137" s="17"/>
      <c r="EL137" s="17"/>
      <c r="EM137" s="17"/>
      <c r="EN137" s="17"/>
      <c r="EO137" s="17"/>
      <c r="EP137" s="17"/>
      <c r="EQ137" s="17"/>
      <c r="ER137" s="17"/>
      <c r="ES137" s="17"/>
      <c r="ET137" s="17"/>
      <c r="EU137" s="17"/>
    </row>
    <row r="138" spans="1:151" ht="18" hidden="1" x14ac:dyDescent="0.2">
      <c r="A138" s="165">
        <f t="shared" si="8"/>
        <v>0</v>
      </c>
      <c r="B138" s="357"/>
      <c r="C138" s="222"/>
      <c r="D138" s="222"/>
      <c r="E138" s="222"/>
      <c r="F138" s="248"/>
      <c r="G138" s="249"/>
      <c r="H138" s="160"/>
      <c r="I138" s="160"/>
      <c r="J138" s="160"/>
      <c r="K138" s="160"/>
      <c r="L138" s="160"/>
      <c r="M138" s="160"/>
      <c r="N138" s="160"/>
      <c r="O138" s="182"/>
      <c r="P138" s="182"/>
      <c r="Q138" s="182"/>
      <c r="R138" s="116"/>
      <c r="S138" s="17"/>
      <c r="T138" s="17"/>
      <c r="U138" s="17"/>
      <c r="V138" s="17"/>
      <c r="W138" s="17"/>
      <c r="X138" s="17"/>
      <c r="Y138" s="17"/>
      <c r="Z138" s="17"/>
      <c r="AA138" s="17"/>
      <c r="AB138" s="17"/>
      <c r="AC138" s="17"/>
      <c r="AD138" s="17"/>
      <c r="AP138" s="4"/>
      <c r="AQ138" s="54"/>
      <c r="AR138" s="44"/>
      <c r="AS138" s="32"/>
      <c r="AT138" s="4"/>
      <c r="AU138" s="4"/>
      <c r="AV138" s="4"/>
      <c r="AW138" s="55"/>
      <c r="AX138" s="56"/>
      <c r="AY138" s="34"/>
      <c r="AZ138" s="34"/>
      <c r="BA138" s="34"/>
      <c r="BB138" s="34"/>
      <c r="BC138" s="34"/>
      <c r="BD138" s="34"/>
      <c r="BE138" s="34"/>
      <c r="BF138" s="34"/>
      <c r="BG138" s="34"/>
      <c r="BH138" s="34"/>
      <c r="BI138" s="4"/>
      <c r="BJ138" s="4"/>
      <c r="BK138" s="4"/>
      <c r="BL138" s="17"/>
      <c r="BM138" s="17"/>
      <c r="BN138" s="17"/>
      <c r="BO138" s="17"/>
      <c r="BP138" s="17"/>
      <c r="BQ138" s="17"/>
      <c r="BR138" s="17"/>
      <c r="BS138" s="66"/>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c r="EI138" s="17"/>
      <c r="EJ138" s="17"/>
      <c r="EK138" s="17"/>
      <c r="EL138" s="17"/>
      <c r="EM138" s="17"/>
      <c r="EN138" s="17"/>
      <c r="EO138" s="17"/>
      <c r="EP138" s="17"/>
      <c r="EQ138" s="17"/>
      <c r="ER138" s="17"/>
      <c r="ES138" s="17"/>
      <c r="ET138" s="17"/>
      <c r="EU138" s="17"/>
    </row>
    <row r="139" spans="1:151" ht="18" hidden="1" x14ac:dyDescent="0.2">
      <c r="A139" s="165">
        <f t="shared" si="8"/>
        <v>0</v>
      </c>
      <c r="B139" s="357"/>
      <c r="C139" s="160"/>
      <c r="D139" s="223" t="s">
        <v>108</v>
      </c>
      <c r="E139" s="232"/>
      <c r="F139" s="160"/>
      <c r="G139" s="232"/>
      <c r="H139" s="232"/>
      <c r="I139" s="232"/>
      <c r="J139" s="232"/>
      <c r="K139" s="232"/>
      <c r="L139" s="232"/>
      <c r="M139" s="232"/>
      <c r="N139" s="232"/>
      <c r="O139" s="232"/>
      <c r="P139" s="182"/>
      <c r="Q139" s="182"/>
      <c r="R139" s="116"/>
      <c r="S139" s="17"/>
      <c r="T139" s="17"/>
      <c r="U139" s="17"/>
      <c r="V139" s="17"/>
      <c r="W139" s="17"/>
      <c r="X139" s="17"/>
      <c r="Y139" s="17"/>
      <c r="Z139" s="17"/>
      <c r="AA139" s="17"/>
      <c r="AB139" s="17"/>
      <c r="AC139" s="17"/>
      <c r="AD139" s="17"/>
      <c r="AP139" s="4"/>
      <c r="AQ139" s="54"/>
      <c r="AR139" s="44"/>
      <c r="AS139" s="32"/>
      <c r="AT139" s="4"/>
      <c r="AU139" s="4"/>
      <c r="AV139" s="4"/>
      <c r="AW139" s="55"/>
      <c r="AX139" s="56"/>
      <c r="AY139" s="34"/>
      <c r="AZ139" s="34"/>
      <c r="BA139" s="34"/>
      <c r="BB139" s="34"/>
      <c r="BC139" s="34"/>
      <c r="BD139" s="34"/>
      <c r="BE139" s="34"/>
      <c r="BF139" s="34"/>
      <c r="BG139" s="34"/>
      <c r="BH139" s="34"/>
      <c r="BI139" s="4"/>
      <c r="BJ139" s="4"/>
      <c r="BK139" s="4"/>
      <c r="BL139" s="17"/>
      <c r="BM139" s="17"/>
      <c r="BN139" s="17"/>
      <c r="BO139" s="17"/>
      <c r="BP139" s="17"/>
      <c r="BQ139" s="17"/>
      <c r="BR139" s="17"/>
      <c r="BS139" s="66"/>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17"/>
      <c r="EI139" s="17"/>
      <c r="EJ139" s="17"/>
      <c r="EK139" s="17"/>
      <c r="EL139" s="17"/>
      <c r="EM139" s="17"/>
      <c r="EN139" s="17"/>
      <c r="EO139" s="17"/>
      <c r="EP139" s="17"/>
      <c r="EQ139" s="17"/>
      <c r="ER139" s="17"/>
      <c r="ES139" s="17"/>
      <c r="ET139" s="17"/>
      <c r="EU139" s="17"/>
    </row>
    <row r="140" spans="1:151" ht="6" hidden="1" customHeight="1" x14ac:dyDescent="0.2">
      <c r="A140" s="165">
        <f t="shared" si="8"/>
        <v>0</v>
      </c>
      <c r="B140" s="357"/>
      <c r="C140" s="160"/>
      <c r="D140" s="223"/>
      <c r="E140" s="232"/>
      <c r="F140" s="160"/>
      <c r="G140" s="232"/>
      <c r="H140" s="232"/>
      <c r="I140" s="232"/>
      <c r="J140" s="232"/>
      <c r="K140" s="232"/>
      <c r="L140" s="232"/>
      <c r="M140" s="232"/>
      <c r="N140" s="232"/>
      <c r="O140" s="232"/>
      <c r="P140" s="182"/>
      <c r="Q140" s="182"/>
      <c r="R140" s="116"/>
      <c r="S140" s="17"/>
      <c r="T140" s="17"/>
      <c r="U140" s="17"/>
      <c r="V140" s="17"/>
      <c r="W140" s="17"/>
      <c r="X140" s="17"/>
      <c r="Y140" s="17"/>
      <c r="Z140" s="17"/>
      <c r="AA140" s="17"/>
      <c r="AB140" s="17"/>
      <c r="AC140" s="17"/>
      <c r="AD140" s="17"/>
      <c r="AP140" s="4"/>
      <c r="AQ140" s="54"/>
      <c r="AR140" s="44"/>
      <c r="AS140" s="32"/>
      <c r="AT140" s="4"/>
      <c r="AU140" s="4"/>
      <c r="AV140" s="4"/>
      <c r="AW140" s="55"/>
      <c r="AX140" s="56"/>
      <c r="AY140" s="34"/>
      <c r="AZ140" s="34"/>
      <c r="BA140" s="34"/>
      <c r="BB140" s="34"/>
      <c r="BC140" s="34"/>
      <c r="BD140" s="34"/>
      <c r="BE140" s="34"/>
      <c r="BF140" s="34"/>
      <c r="BG140" s="34"/>
      <c r="BH140" s="34"/>
      <c r="BI140" s="4"/>
      <c r="BJ140" s="4"/>
      <c r="BK140" s="4"/>
      <c r="BL140" s="17"/>
      <c r="BM140" s="17"/>
      <c r="BN140" s="17"/>
      <c r="BO140" s="17"/>
      <c r="BP140" s="17"/>
      <c r="BQ140" s="17"/>
      <c r="BR140" s="17"/>
      <c r="BS140" s="66"/>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17"/>
      <c r="EI140" s="17"/>
      <c r="EJ140" s="17"/>
      <c r="EK140" s="17"/>
      <c r="EL140" s="17"/>
      <c r="EM140" s="17"/>
      <c r="EN140" s="17"/>
      <c r="EO140" s="17"/>
      <c r="EP140" s="17"/>
      <c r="EQ140" s="17"/>
      <c r="ER140" s="17"/>
      <c r="ES140" s="17"/>
      <c r="ET140" s="17"/>
      <c r="EU140" s="17"/>
    </row>
    <row r="141" spans="1:151" ht="18" hidden="1" x14ac:dyDescent="0.2">
      <c r="A141" s="165">
        <f t="shared" si="8"/>
        <v>0</v>
      </c>
      <c r="B141" s="357"/>
      <c r="C141" s="160"/>
      <c r="D141" s="223" t="s">
        <v>82</v>
      </c>
      <c r="E141" s="232"/>
      <c r="F141" s="160"/>
      <c r="G141" s="232"/>
      <c r="H141" s="232"/>
      <c r="I141" s="232"/>
      <c r="J141" s="232"/>
      <c r="K141" s="232"/>
      <c r="L141" s="232"/>
      <c r="M141" s="232"/>
      <c r="N141" s="232"/>
      <c r="O141" s="232"/>
      <c r="P141" s="182"/>
      <c r="Q141" s="182"/>
      <c r="R141" s="116"/>
      <c r="S141" s="17"/>
      <c r="T141" s="17"/>
      <c r="U141" s="17"/>
      <c r="V141" s="17"/>
      <c r="W141" s="17"/>
      <c r="X141" s="17"/>
      <c r="Y141" s="17"/>
      <c r="Z141" s="17"/>
      <c r="AA141" s="17"/>
      <c r="AB141" s="17"/>
      <c r="AC141" s="17"/>
      <c r="AD141" s="17"/>
      <c r="AP141" s="4"/>
      <c r="AQ141" s="54"/>
      <c r="AR141" s="44"/>
      <c r="AS141" s="32"/>
      <c r="AT141" s="4"/>
      <c r="AU141" s="4"/>
      <c r="AV141" s="4"/>
      <c r="AW141" s="55"/>
      <c r="AX141" s="56"/>
      <c r="AY141" s="34"/>
      <c r="AZ141" s="34"/>
      <c r="BA141" s="34"/>
      <c r="BB141" s="34"/>
      <c r="BC141" s="34"/>
      <c r="BD141" s="34"/>
      <c r="BE141" s="34"/>
      <c r="BF141" s="34"/>
      <c r="BG141" s="34"/>
      <c r="BH141" s="34"/>
      <c r="BI141" s="4"/>
      <c r="BJ141" s="4"/>
      <c r="BK141" s="4"/>
      <c r="BL141" s="17"/>
      <c r="BM141" s="17"/>
      <c r="BN141" s="17"/>
      <c r="BO141" s="17"/>
      <c r="BP141" s="17"/>
      <c r="BQ141" s="17"/>
      <c r="BR141" s="17"/>
      <c r="BS141" s="66"/>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c r="DX141" s="17"/>
      <c r="DY141" s="17"/>
      <c r="DZ141" s="17"/>
      <c r="EA141" s="17"/>
      <c r="EB141" s="17"/>
      <c r="EC141" s="17"/>
      <c r="ED141" s="17"/>
      <c r="EE141" s="17"/>
      <c r="EF141" s="17"/>
      <c r="EG141" s="17"/>
      <c r="EH141" s="17"/>
      <c r="EI141" s="17"/>
      <c r="EJ141" s="17"/>
      <c r="EK141" s="17"/>
      <c r="EL141" s="17"/>
      <c r="EM141" s="17"/>
      <c r="EN141" s="17"/>
      <c r="EO141" s="17"/>
      <c r="EP141" s="17"/>
      <c r="EQ141" s="17"/>
      <c r="ER141" s="17"/>
      <c r="ES141" s="17"/>
      <c r="ET141" s="17"/>
      <c r="EU141" s="17"/>
    </row>
    <row r="142" spans="1:151" ht="18" hidden="1" x14ac:dyDescent="0.2">
      <c r="A142" s="165">
        <f t="shared" si="8"/>
        <v>0</v>
      </c>
      <c r="B142" s="117"/>
      <c r="C142" s="224"/>
      <c r="D142" s="224"/>
      <c r="E142" s="224"/>
      <c r="F142" s="224"/>
      <c r="G142" s="160"/>
      <c r="H142" s="160"/>
      <c r="I142" s="160"/>
      <c r="J142" s="160"/>
      <c r="K142" s="160"/>
      <c r="L142" s="160"/>
      <c r="M142" s="160"/>
      <c r="N142" s="160"/>
      <c r="O142" s="160"/>
      <c r="P142" s="160"/>
      <c r="Q142" s="160"/>
      <c r="R142" s="63"/>
      <c r="S142" s="17"/>
      <c r="T142" s="17"/>
      <c r="U142" s="17"/>
      <c r="V142" s="17"/>
      <c r="W142" s="17"/>
      <c r="X142" s="17"/>
      <c r="Y142" s="17"/>
      <c r="Z142" s="17"/>
      <c r="AA142" s="17"/>
      <c r="AB142" s="118"/>
      <c r="AC142" s="119"/>
      <c r="AD142" s="17"/>
      <c r="AP142" s="4"/>
      <c r="AQ142" s="54"/>
      <c r="AR142" s="44"/>
      <c r="AS142" s="32"/>
      <c r="AT142" s="4"/>
      <c r="AU142" s="4"/>
      <c r="AV142" s="4"/>
      <c r="AW142" s="55"/>
      <c r="AX142" s="56"/>
      <c r="AY142" s="34"/>
      <c r="AZ142" s="34"/>
      <c r="BA142" s="34"/>
      <c r="BB142" s="34"/>
      <c r="BC142" s="34"/>
      <c r="BD142" s="34"/>
      <c r="BE142" s="34"/>
      <c r="BF142" s="34"/>
      <c r="BG142" s="34"/>
      <c r="BH142" s="34"/>
      <c r="BI142" s="4"/>
      <c r="BJ142" s="4"/>
      <c r="BK142" s="4"/>
      <c r="BL142" s="17"/>
      <c r="BM142" s="17"/>
      <c r="BN142" s="17"/>
      <c r="BO142" s="17"/>
      <c r="BP142" s="17"/>
      <c r="BQ142" s="17"/>
      <c r="BR142" s="17"/>
      <c r="BS142" s="66"/>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c r="DX142" s="17"/>
      <c r="DY142" s="17"/>
      <c r="DZ142" s="17"/>
      <c r="EA142" s="17"/>
      <c r="EB142" s="17"/>
      <c r="EC142" s="17"/>
      <c r="ED142" s="17"/>
      <c r="EE142" s="17"/>
      <c r="EF142" s="17"/>
      <c r="EG142" s="17"/>
      <c r="EH142" s="17"/>
      <c r="EI142" s="17"/>
      <c r="EJ142" s="17"/>
      <c r="EK142" s="17"/>
      <c r="EL142" s="17"/>
      <c r="EM142" s="17"/>
      <c r="EN142" s="17"/>
      <c r="EO142" s="17"/>
      <c r="EP142" s="17"/>
      <c r="EQ142" s="17"/>
      <c r="ER142" s="17"/>
      <c r="ES142" s="17"/>
      <c r="ET142" s="17"/>
      <c r="EU142" s="17"/>
    </row>
    <row r="143" spans="1:151" ht="18" hidden="1" x14ac:dyDescent="0.2">
      <c r="A143" s="165">
        <f t="shared" ref="A143:A156" si="9">IF(SAUERKÜRZEL=$B$143,1,0)</f>
        <v>0</v>
      </c>
      <c r="B143" s="357" t="s">
        <v>27</v>
      </c>
      <c r="C143" s="160"/>
      <c r="D143" s="144"/>
      <c r="E143" s="259" t="s">
        <v>70</v>
      </c>
      <c r="F143" s="169"/>
      <c r="G143" s="160"/>
      <c r="H143" s="160"/>
      <c r="I143" s="160"/>
      <c r="J143" s="160"/>
      <c r="K143" s="160"/>
      <c r="L143" s="160"/>
      <c r="M143" s="160"/>
      <c r="N143" s="241"/>
      <c r="O143" s="241"/>
      <c r="P143" s="160"/>
      <c r="Q143" s="160"/>
      <c r="R143" s="63"/>
      <c r="S143" s="17"/>
      <c r="T143" s="17"/>
      <c r="W143" s="17"/>
      <c r="X143" s="17"/>
      <c r="Y143" s="17"/>
      <c r="Z143" s="17"/>
      <c r="AA143" s="17"/>
      <c r="AB143" s="17"/>
      <c r="AC143" s="17"/>
      <c r="AD143" s="17"/>
      <c r="AP143" s="4"/>
      <c r="AQ143" s="54"/>
      <c r="AR143" s="44"/>
      <c r="AS143" s="32"/>
      <c r="AT143" s="4"/>
      <c r="AU143" s="4"/>
      <c r="AV143" s="4"/>
      <c r="AW143" s="55"/>
      <c r="AX143" s="56"/>
      <c r="AY143" s="34"/>
      <c r="AZ143" s="34"/>
      <c r="BA143" s="34"/>
      <c r="BB143" s="34"/>
      <c r="BC143" s="34"/>
      <c r="BD143" s="34"/>
      <c r="BE143" s="34"/>
      <c r="BF143" s="34"/>
      <c r="BG143" s="34"/>
      <c r="BH143" s="34"/>
      <c r="BI143" s="4"/>
      <c r="BJ143" s="4"/>
      <c r="BK143" s="4"/>
      <c r="BL143" s="17"/>
      <c r="BM143" s="17"/>
      <c r="BN143" s="17"/>
      <c r="BO143" s="17"/>
      <c r="BP143" s="17"/>
      <c r="BQ143" s="17"/>
      <c r="BR143" s="17"/>
      <c r="BS143" s="66"/>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c r="DX143" s="17"/>
      <c r="DY143" s="17"/>
      <c r="DZ143" s="17"/>
      <c r="EA143" s="17"/>
      <c r="EB143" s="17"/>
      <c r="EC143" s="17"/>
      <c r="ED143" s="17"/>
      <c r="EE143" s="17"/>
      <c r="EF143" s="17"/>
      <c r="EG143" s="17"/>
      <c r="EH143" s="17"/>
      <c r="EI143" s="17"/>
      <c r="EJ143" s="17"/>
      <c r="EK143" s="17"/>
      <c r="EL143" s="17"/>
      <c r="EM143" s="17"/>
      <c r="EN143" s="17"/>
      <c r="EO143" s="17"/>
      <c r="EP143" s="17"/>
      <c r="EQ143" s="17"/>
      <c r="ER143" s="17"/>
      <c r="ES143" s="17"/>
      <c r="ET143" s="17"/>
      <c r="EU143" s="17"/>
    </row>
    <row r="144" spans="1:151" ht="99.75" hidden="1" customHeight="1" x14ac:dyDescent="0.2">
      <c r="A144" s="165">
        <f t="shared" si="9"/>
        <v>0</v>
      </c>
      <c r="B144" s="357"/>
      <c r="C144" s="160"/>
      <c r="D144" s="160"/>
      <c r="E144" s="170" t="s">
        <v>48</v>
      </c>
      <c r="F144" s="167" t="s">
        <v>96</v>
      </c>
      <c r="G144" s="170" t="s">
        <v>49</v>
      </c>
      <c r="H144" s="160"/>
      <c r="I144" s="172" t="s">
        <v>52</v>
      </c>
      <c r="J144" s="170" t="s">
        <v>54</v>
      </c>
      <c r="K144" s="170" t="s">
        <v>56</v>
      </c>
      <c r="L144" s="170" t="s">
        <v>57</v>
      </c>
      <c r="M144" s="170" t="s">
        <v>45</v>
      </c>
      <c r="N144" s="170" t="s">
        <v>58</v>
      </c>
      <c r="O144" s="160"/>
      <c r="P144" s="160"/>
      <c r="Q144" s="160"/>
      <c r="R144" s="63"/>
      <c r="S144" s="4"/>
      <c r="T144" s="4"/>
      <c r="U144" s="4"/>
      <c r="V144" s="17"/>
      <c r="W144" s="65" t="s">
        <v>50</v>
      </c>
      <c r="X144" s="65" t="s">
        <v>51</v>
      </c>
      <c r="Y144" s="65" t="s">
        <v>53</v>
      </c>
      <c r="Z144" s="65" t="s">
        <v>55</v>
      </c>
      <c r="AA144" s="4"/>
      <c r="AB144" s="17"/>
      <c r="AC144" s="17"/>
      <c r="AD144" s="4"/>
      <c r="AP144" s="4"/>
      <c r="AQ144" s="54"/>
      <c r="AR144" s="44"/>
      <c r="AS144" s="32"/>
      <c r="AT144" s="4"/>
      <c r="AU144" s="4"/>
      <c r="AV144" s="4"/>
      <c r="AW144" s="55"/>
      <c r="AX144" s="56"/>
      <c r="AY144" s="34"/>
      <c r="AZ144" s="34"/>
      <c r="BA144" s="34"/>
      <c r="BB144" s="34"/>
      <c r="BC144" s="34"/>
      <c r="BD144" s="34"/>
      <c r="BE144" s="34"/>
      <c r="BF144" s="34"/>
      <c r="BG144" s="34"/>
      <c r="BH144" s="34"/>
      <c r="BI144" s="4"/>
      <c r="BJ144" s="4"/>
      <c r="BK144" s="4"/>
      <c r="BL144" s="17"/>
      <c r="BM144" s="17"/>
      <c r="BN144" s="17"/>
      <c r="BO144" s="17"/>
      <c r="BP144" s="17"/>
      <c r="BQ144" s="17"/>
      <c r="BR144" s="17"/>
      <c r="BS144" s="66"/>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17"/>
      <c r="EA144" s="17"/>
      <c r="EB144" s="17"/>
      <c r="EC144" s="17"/>
      <c r="ED144" s="17"/>
      <c r="EE144" s="17"/>
      <c r="EF144" s="17"/>
      <c r="EG144" s="17"/>
      <c r="EH144" s="17"/>
      <c r="EI144" s="17"/>
      <c r="EJ144" s="17"/>
      <c r="EK144" s="17"/>
      <c r="EL144" s="17"/>
      <c r="EM144" s="17"/>
      <c r="EN144" s="17"/>
      <c r="EO144" s="17"/>
      <c r="EP144" s="17"/>
      <c r="EQ144" s="17"/>
      <c r="ER144" s="17"/>
      <c r="ES144" s="17"/>
      <c r="ET144" s="17"/>
      <c r="EU144" s="17"/>
    </row>
    <row r="145" spans="1:151" ht="18" hidden="1" x14ac:dyDescent="0.2">
      <c r="A145" s="165">
        <f t="shared" si="9"/>
        <v>0</v>
      </c>
      <c r="B145" s="144"/>
      <c r="C145" s="160"/>
      <c r="D145" s="160"/>
      <c r="E145" s="160"/>
      <c r="F145" s="160"/>
      <c r="G145" s="144"/>
      <c r="H145" s="160"/>
      <c r="I145" s="169"/>
      <c r="J145" s="144"/>
      <c r="K145" s="144"/>
      <c r="L145" s="144"/>
      <c r="M145" s="160"/>
      <c r="N145" s="144"/>
      <c r="O145" s="160"/>
      <c r="P145" s="160"/>
      <c r="Q145" s="160"/>
      <c r="R145" s="63"/>
      <c r="S145" s="17"/>
      <c r="T145" s="17"/>
      <c r="U145" s="17"/>
      <c r="V145" s="17"/>
      <c r="W145" s="65"/>
      <c r="X145" s="65"/>
      <c r="Y145" s="65"/>
      <c r="Z145" s="65"/>
      <c r="AA145" s="17"/>
      <c r="AB145" s="17"/>
      <c r="AC145" s="17"/>
      <c r="AD145" s="17"/>
      <c r="AP145" s="4"/>
      <c r="AQ145" s="54"/>
      <c r="AR145" s="44"/>
      <c r="AS145" s="32"/>
      <c r="AT145" s="4"/>
      <c r="AU145" s="4"/>
      <c r="AV145" s="4"/>
      <c r="AW145" s="55"/>
      <c r="AX145" s="56"/>
      <c r="AY145" s="34"/>
      <c r="AZ145" s="34"/>
      <c r="BA145" s="34"/>
      <c r="BB145" s="34"/>
      <c r="BC145" s="34"/>
      <c r="BD145" s="34"/>
      <c r="BE145" s="34"/>
      <c r="BF145" s="34"/>
      <c r="BG145" s="34"/>
      <c r="BH145" s="34"/>
      <c r="BI145" s="4"/>
      <c r="BJ145" s="4"/>
      <c r="BK145" s="4"/>
      <c r="BL145" s="17"/>
      <c r="BM145" s="17"/>
      <c r="BN145" s="17"/>
      <c r="BO145" s="17"/>
      <c r="BP145" s="17"/>
      <c r="BQ145" s="17"/>
      <c r="BR145" s="17"/>
      <c r="BS145" s="66"/>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17"/>
      <c r="EA145" s="17"/>
      <c r="EB145" s="17"/>
      <c r="EC145" s="17"/>
      <c r="ED145" s="17"/>
      <c r="EE145" s="17"/>
      <c r="EF145" s="17"/>
      <c r="EG145" s="17"/>
      <c r="EH145" s="17"/>
      <c r="EI145" s="17"/>
      <c r="EJ145" s="17"/>
      <c r="EK145" s="17"/>
      <c r="EL145" s="17"/>
      <c r="EM145" s="17"/>
      <c r="EN145" s="17"/>
      <c r="EO145" s="17"/>
      <c r="EP145" s="17"/>
      <c r="EQ145" s="17"/>
      <c r="ER145" s="17"/>
      <c r="ES145" s="17"/>
      <c r="ET145" s="17"/>
      <c r="EU145" s="17"/>
    </row>
    <row r="146" spans="1:151" s="17" customFormat="1" ht="16.5" hidden="1" customHeight="1" x14ac:dyDescent="0.2">
      <c r="A146" s="165">
        <f t="shared" si="9"/>
        <v>0</v>
      </c>
      <c r="B146" s="201" t="s">
        <v>60</v>
      </c>
      <c r="C146" s="203"/>
      <c r="D146" s="203"/>
      <c r="E146" s="289"/>
      <c r="F146" s="289"/>
      <c r="G146" s="289"/>
      <c r="H146" s="289"/>
      <c r="I146" s="331">
        <v>2</v>
      </c>
      <c r="J146" s="292">
        <f>SUM(AG146,AJ146,M150)*0.004906</f>
        <v>5.3364320754716978E-3</v>
      </c>
      <c r="K146" s="292"/>
      <c r="L146" s="292"/>
      <c r="M146" s="292"/>
      <c r="N146" s="289"/>
      <c r="O146" s="203"/>
      <c r="P146" s="203"/>
      <c r="Q146" s="203"/>
      <c r="R146" s="124"/>
      <c r="U146" s="127">
        <v>10.5</v>
      </c>
      <c r="V146" s="128">
        <v>4</v>
      </c>
      <c r="X146" s="129"/>
      <c r="AF146" s="138">
        <f>$AR$5</f>
        <v>1</v>
      </c>
      <c r="AG146" s="105">
        <f>AF146*1.05</f>
        <v>1.05</v>
      </c>
      <c r="AH146" s="106">
        <f>I151</f>
        <v>2.65</v>
      </c>
      <c r="AI146" s="107">
        <f>E12</f>
        <v>0.1</v>
      </c>
      <c r="AJ146" s="107">
        <f>AI146/AH146</f>
        <v>3.7735849056603779E-2</v>
      </c>
      <c r="AK146" s="107">
        <f>AI146-AJ146</f>
        <v>6.2264150943396226E-2</v>
      </c>
      <c r="AP146" s="4"/>
      <c r="AQ146" s="54"/>
      <c r="AR146" s="44"/>
      <c r="AS146" s="32"/>
      <c r="AT146" s="4"/>
      <c r="AU146" s="4"/>
      <c r="AV146" s="4"/>
      <c r="AW146" s="55"/>
      <c r="AX146" s="56"/>
      <c r="AY146" s="34"/>
      <c r="AZ146" s="34"/>
      <c r="BA146" s="34"/>
      <c r="BB146" s="34"/>
      <c r="BC146" s="34"/>
      <c r="BD146" s="34"/>
      <c r="BE146" s="34"/>
      <c r="BF146" s="34"/>
      <c r="BG146" s="34"/>
      <c r="BH146" s="34"/>
      <c r="BI146" s="4"/>
      <c r="BJ146" s="4"/>
      <c r="BK146" s="4"/>
      <c r="BS146" s="66"/>
    </row>
    <row r="147" spans="1:151" s="17" customFormat="1" ht="16.5" hidden="1" customHeight="1" x14ac:dyDescent="0.2">
      <c r="A147" s="165">
        <f t="shared" si="9"/>
        <v>0</v>
      </c>
      <c r="B147" s="201" t="s">
        <v>83</v>
      </c>
      <c r="C147" s="203"/>
      <c r="D147" s="203"/>
      <c r="E147" s="289"/>
      <c r="F147" s="299">
        <f>IF(E152="",0,IF(E148-0.125=0,"00:00",IF(E148&lt;0.125,1,0)+E148-0.125))</f>
        <v>0</v>
      </c>
      <c r="G147" s="295">
        <f>IF(E148&lt;F147,(E148+"24:00:00"-F147),(E148-F147))</f>
        <v>0</v>
      </c>
      <c r="H147" s="289"/>
      <c r="I147" s="331">
        <v>3</v>
      </c>
      <c r="J147" s="292">
        <f>4*X147</f>
        <v>3.2018592452830189E-2</v>
      </c>
      <c r="K147" s="293">
        <f>J146</f>
        <v>5.3364320754716978E-3</v>
      </c>
      <c r="L147" s="293">
        <f>2*J146</f>
        <v>1.0672864150943396E-2</v>
      </c>
      <c r="M147" s="292"/>
      <c r="N147" s="294" t="s">
        <v>86</v>
      </c>
      <c r="O147" s="203"/>
      <c r="P147" s="203"/>
      <c r="Q147" s="203"/>
      <c r="R147" s="124"/>
      <c r="W147" s="71">
        <f>IF(G147&lt;0.125,(G147*23),IF(G147&lt;0.209,(G147*25),IF(G147&lt;0.288,(G147*28),IF(G147&lt;0.375,(G147*30),(G147*33)))))</f>
        <v>0</v>
      </c>
      <c r="X147" s="129">
        <f>K147+(J146/I146)</f>
        <v>8.0046481132075471E-3</v>
      </c>
      <c r="Y147" s="71">
        <f>X147*(I147-100%)</f>
        <v>1.6009296226415094E-2</v>
      </c>
      <c r="Z147" s="129">
        <f>J146</f>
        <v>5.3364320754716978E-3</v>
      </c>
      <c r="AP147" s="4"/>
      <c r="AQ147" s="54"/>
      <c r="AR147" s="44"/>
      <c r="AS147" s="32"/>
      <c r="AT147" s="4"/>
      <c r="AU147" s="4"/>
      <c r="AV147" s="4"/>
      <c r="AW147" s="55"/>
      <c r="AX147" s="56"/>
      <c r="AY147" s="34"/>
      <c r="AZ147" s="34"/>
      <c r="BA147" s="34"/>
      <c r="BB147" s="34"/>
      <c r="BC147" s="34"/>
      <c r="BD147" s="34"/>
      <c r="BE147" s="34"/>
      <c r="BF147" s="34"/>
      <c r="BG147" s="34"/>
      <c r="BH147" s="34"/>
      <c r="BI147" s="4"/>
      <c r="BJ147" s="4"/>
      <c r="BK147" s="4"/>
      <c r="BS147" s="66"/>
    </row>
    <row r="148" spans="1:151" s="17" customFormat="1" ht="16.5" hidden="1" customHeight="1" x14ac:dyDescent="0.2">
      <c r="A148" s="165">
        <f t="shared" si="9"/>
        <v>0</v>
      </c>
      <c r="B148" s="201" t="s">
        <v>84</v>
      </c>
      <c r="C148" s="203"/>
      <c r="D148" s="203"/>
      <c r="E148" s="299">
        <f>IF($E$152="",0,IF(E149&lt;0.125,1,0)+E149-0.125)</f>
        <v>0</v>
      </c>
      <c r="F148" s="299">
        <f>E148</f>
        <v>0</v>
      </c>
      <c r="G148" s="295">
        <f>IF(E149&lt;E148,(E149+"24:00:00"-E148),(E149-E148))</f>
        <v>0</v>
      </c>
      <c r="H148" s="289"/>
      <c r="I148" s="331">
        <v>3</v>
      </c>
      <c r="J148" s="292">
        <f>X148+Y148</f>
        <v>4.0023240566037732E-2</v>
      </c>
      <c r="K148" s="293">
        <f>K147</f>
        <v>5.3364320754716978E-3</v>
      </c>
      <c r="L148" s="293">
        <f>L147</f>
        <v>1.0672864150943396E-2</v>
      </c>
      <c r="M148" s="292"/>
      <c r="N148" s="294" t="s">
        <v>87</v>
      </c>
      <c r="O148" s="203"/>
      <c r="P148" s="203"/>
      <c r="Q148" s="203"/>
      <c r="R148" s="124"/>
      <c r="W148" s="71">
        <f>IF(G148&lt;0.125,(G148*23),IF(G148&lt;0.209,(G148*27),IF(G148&lt;0.288,(G148*29),IF(G148&lt;0.375,(G148*31),(G148*33)))))</f>
        <v>0</v>
      </c>
      <c r="X148" s="129">
        <f>SUM(X147,K148)</f>
        <v>1.3341080188679244E-2</v>
      </c>
      <c r="Y148" s="71">
        <f>X148*(I148-100%)</f>
        <v>2.6682160377358488E-2</v>
      </c>
      <c r="Z148" s="129">
        <f>J147</f>
        <v>3.2018592452830189E-2</v>
      </c>
      <c r="AP148" s="4"/>
      <c r="AQ148" s="54"/>
      <c r="AR148" s="44"/>
      <c r="AS148" s="32"/>
      <c r="AT148" s="4"/>
      <c r="AU148" s="4"/>
      <c r="AV148" s="4"/>
      <c r="AW148" s="55"/>
      <c r="AX148" s="56"/>
      <c r="AY148" s="34"/>
      <c r="AZ148" s="34"/>
      <c r="BA148" s="34"/>
      <c r="BB148" s="34"/>
      <c r="BC148" s="34"/>
      <c r="BD148" s="34"/>
      <c r="BE148" s="34"/>
      <c r="BF148" s="34"/>
      <c r="BG148" s="34"/>
      <c r="BH148" s="34"/>
      <c r="BI148" s="4"/>
      <c r="BJ148" s="4"/>
      <c r="BK148" s="4"/>
      <c r="BS148" s="66"/>
    </row>
    <row r="149" spans="1:151" s="17" customFormat="1" ht="16.5" hidden="1" customHeight="1" x14ac:dyDescent="0.2">
      <c r="A149" s="165">
        <f t="shared" si="9"/>
        <v>0</v>
      </c>
      <c r="B149" s="201" t="s">
        <v>85</v>
      </c>
      <c r="C149" s="203"/>
      <c r="D149" s="203"/>
      <c r="E149" s="299">
        <f>IF($E$152="",0,IF(E150&lt;0.125,1,0)+E150-0.125)</f>
        <v>0</v>
      </c>
      <c r="F149" s="299">
        <f>E149</f>
        <v>0</v>
      </c>
      <c r="G149" s="295">
        <f>IF(E150&lt;E149,(E150+"24:00:00"-F147),(E150-E149))</f>
        <v>0</v>
      </c>
      <c r="H149" s="289"/>
      <c r="I149" s="331">
        <v>3</v>
      </c>
      <c r="J149" s="292">
        <f>X149+Y149</f>
        <v>5.6032536792452819E-2</v>
      </c>
      <c r="K149" s="293">
        <f>K148</f>
        <v>5.3364320754716978E-3</v>
      </c>
      <c r="L149" s="293">
        <f>L148</f>
        <v>1.0672864150943396E-2</v>
      </c>
      <c r="M149" s="292"/>
      <c r="N149" s="294" t="s">
        <v>88</v>
      </c>
      <c r="O149" s="203"/>
      <c r="P149" s="203"/>
      <c r="Q149" s="203"/>
      <c r="R149" s="124"/>
      <c r="W149" s="71">
        <f>IF(G149&lt;0.125,(G149*23),IF(G149&lt;0.209,(G149*25),IF(G149&lt;0.288,(G149*28),IF(G149&lt;0.375,(G149*30),(G149*33)))))</f>
        <v>0</v>
      </c>
      <c r="X149" s="129">
        <f>SUM(X148,K149)</f>
        <v>1.8677512264150941E-2</v>
      </c>
      <c r="Y149" s="71">
        <f>X149*(I149-100%)</f>
        <v>3.7355024528301882E-2</v>
      </c>
      <c r="Z149" s="129">
        <f>J148</f>
        <v>4.0023240566037732E-2</v>
      </c>
      <c r="AP149" s="4"/>
      <c r="AQ149" s="54"/>
      <c r="AR149" s="44"/>
      <c r="AS149" s="32"/>
      <c r="AT149" s="4"/>
      <c r="AU149" s="4"/>
      <c r="AV149" s="4"/>
      <c r="AW149" s="55"/>
      <c r="AX149" s="56"/>
      <c r="AY149" s="34"/>
      <c r="AZ149" s="34"/>
      <c r="BA149" s="34"/>
      <c r="BB149" s="34"/>
      <c r="BC149" s="34"/>
      <c r="BD149" s="34"/>
      <c r="BE149" s="34"/>
      <c r="BF149" s="34"/>
      <c r="BG149" s="34"/>
      <c r="BH149" s="34"/>
      <c r="BI149" s="4"/>
      <c r="BJ149" s="4"/>
      <c r="BK149" s="4"/>
      <c r="BS149" s="66"/>
    </row>
    <row r="150" spans="1:151" s="17" customFormat="1" ht="16.5" hidden="1" customHeight="1" x14ac:dyDescent="0.2">
      <c r="A150" s="165">
        <f t="shared" si="9"/>
        <v>0</v>
      </c>
      <c r="B150" s="201" t="s">
        <v>62</v>
      </c>
      <c r="C150" s="203"/>
      <c r="D150" s="203"/>
      <c r="E150" s="299">
        <f>IF($E$152="",0,IF(E151&lt;0.333334,1,0)+E151-0.333334)</f>
        <v>0</v>
      </c>
      <c r="F150" s="299">
        <f>E150</f>
        <v>0</v>
      </c>
      <c r="G150" s="295">
        <f>IF(E151&lt;E150,(E151+"24:00:00"-E150),(E151-E150))</f>
        <v>0</v>
      </c>
      <c r="H150" s="289"/>
      <c r="I150" s="331">
        <f>2.15*BA1</f>
        <v>2.15</v>
      </c>
      <c r="J150" s="292">
        <f>5*J149</f>
        <v>0.28016268396226407</v>
      </c>
      <c r="K150" s="293">
        <f>X150-X149-M150</f>
        <v>0.11163071283457653</v>
      </c>
      <c r="L150" s="293">
        <f>Y150-Y149</f>
        <v>0.11249943433523468</v>
      </c>
      <c r="M150" s="292">
        <f>$AU$6</f>
        <v>0</v>
      </c>
      <c r="N150" s="294" t="s">
        <v>89</v>
      </c>
      <c r="O150" s="203"/>
      <c r="P150" s="203"/>
      <c r="Q150" s="203"/>
      <c r="R150" s="124"/>
      <c r="S150" s="71"/>
      <c r="T150" s="71"/>
      <c r="U150" s="71"/>
      <c r="W150" s="71">
        <f>IF(G150&lt;0.125,(G150*23),IF(G150&lt;0.209,(G150*27),IF(G150&lt;0.288,(G150*29),IF(G150&lt;0.375,(G150*31),(G150*33)))))</f>
        <v>0</v>
      </c>
      <c r="X150" s="129">
        <f>J150/I150</f>
        <v>0.13030822509872747</v>
      </c>
      <c r="Y150" s="71">
        <f>X150*(I150-100%)</f>
        <v>0.14985445886353657</v>
      </c>
      <c r="Z150" s="129">
        <f>J149</f>
        <v>5.6032536792452819E-2</v>
      </c>
      <c r="AA150" s="71"/>
      <c r="AD150" s="71"/>
      <c r="AP150" s="4"/>
      <c r="AQ150" s="54"/>
      <c r="AR150" s="44"/>
      <c r="AS150" s="32"/>
      <c r="AT150" s="4"/>
      <c r="AU150" s="4"/>
      <c r="AV150" s="4"/>
      <c r="AW150" s="55"/>
      <c r="AX150" s="56"/>
      <c r="AY150" s="34"/>
      <c r="AZ150" s="34"/>
      <c r="BA150" s="34"/>
      <c r="BB150" s="34"/>
      <c r="BC150" s="34"/>
      <c r="BD150" s="34"/>
      <c r="BE150" s="34"/>
      <c r="BF150" s="34"/>
      <c r="BG150" s="34"/>
      <c r="BH150" s="34"/>
      <c r="BI150" s="4"/>
      <c r="BJ150" s="4"/>
      <c r="BK150" s="4"/>
      <c r="BS150" s="66"/>
    </row>
    <row r="151" spans="1:151" s="17" customFormat="1" ht="16.5" hidden="1" customHeight="1" x14ac:dyDescent="0.2">
      <c r="A151" s="165">
        <f t="shared" si="9"/>
        <v>0</v>
      </c>
      <c r="B151" s="201" t="s">
        <v>63</v>
      </c>
      <c r="C151" s="203"/>
      <c r="D151" s="203"/>
      <c r="E151" s="299">
        <f>IF($E$152="",0,IF(E152&lt;0.125,1,0)+E152-0.125)</f>
        <v>0</v>
      </c>
      <c r="F151" s="299">
        <f>E151</f>
        <v>0</v>
      </c>
      <c r="G151" s="295">
        <f>IF(E152&lt;E151,(E152+"24:00:00"-E151),(E152-E151))</f>
        <v>0</v>
      </c>
      <c r="H151" s="289"/>
      <c r="I151" s="331">
        <f>2.65*BA1</f>
        <v>2.65</v>
      </c>
      <c r="J151" s="292">
        <f>X151+Y151</f>
        <v>1.0877479090116275</v>
      </c>
      <c r="K151" s="293">
        <f>X151-X150</f>
        <v>0.28016268396226407</v>
      </c>
      <c r="L151" s="293">
        <f>Y151-Y150</f>
        <v>0.52742254108709941</v>
      </c>
      <c r="M151" s="292"/>
      <c r="N151" s="294" t="s">
        <v>17</v>
      </c>
      <c r="O151" s="203"/>
      <c r="P151" s="203"/>
      <c r="Q151" s="203"/>
      <c r="R151" s="124"/>
      <c r="S151" s="71"/>
      <c r="T151" s="71"/>
      <c r="U151" s="71"/>
      <c r="W151" s="71">
        <f>IF(G151&lt;0.125,(G151*23),IF(G151&lt;0.209,(G151*25),IF(G151&lt;0.288,(G151*29),IF(G151&lt;0.375,(G151*31),(G151*33)))))</f>
        <v>0</v>
      </c>
      <c r="X151" s="133">
        <f>J150+X150</f>
        <v>0.41047090906099154</v>
      </c>
      <c r="Y151" s="71">
        <f>X151*(I151-100%)</f>
        <v>0.67727699995063595</v>
      </c>
      <c r="Z151" s="129">
        <f>J150</f>
        <v>0.28016268396226407</v>
      </c>
      <c r="AA151" s="71"/>
      <c r="AD151" s="71"/>
      <c r="AP151" s="4"/>
      <c r="AQ151" s="54"/>
      <c r="AR151" s="44"/>
      <c r="AS151" s="32"/>
      <c r="AT151" s="4"/>
      <c r="AU151" s="4"/>
      <c r="AV151" s="4"/>
      <c r="AW151" s="55"/>
      <c r="AX151" s="56"/>
      <c r="AY151" s="34"/>
      <c r="AZ151" s="34"/>
      <c r="BA151" s="34"/>
      <c r="BB151" s="34"/>
      <c r="BC151" s="34"/>
      <c r="BD151" s="34"/>
      <c r="BE151" s="34"/>
      <c r="BF151" s="34"/>
      <c r="BG151" s="34"/>
      <c r="BH151" s="34"/>
      <c r="BI151" s="4"/>
      <c r="BJ151" s="4"/>
      <c r="BK151" s="4"/>
      <c r="BS151" s="66"/>
    </row>
    <row r="152" spans="1:151" s="17" customFormat="1" ht="17.25" hidden="1" customHeight="1" thickBot="1" x14ac:dyDescent="0.25">
      <c r="A152" s="165">
        <f t="shared" si="9"/>
        <v>0</v>
      </c>
      <c r="B152" s="203"/>
      <c r="C152" s="203"/>
      <c r="D152" s="203"/>
      <c r="E152" s="132"/>
      <c r="F152" s="332" t="str">
        <f>IF(E152="","ZEIT EINGEBEN","")</f>
        <v>ZEIT EINGEBEN</v>
      </c>
      <c r="G152" s="203"/>
      <c r="H152" s="203"/>
      <c r="I152" s="203"/>
      <c r="J152" s="203"/>
      <c r="K152" s="203"/>
      <c r="L152" s="253" t="str">
        <f>IF(A144&lt;&gt;1,"",IF(K150&lt;0,101%,M150/SUM(K150,M150)))</f>
        <v/>
      </c>
      <c r="M152" s="254" t="str">
        <f>IF(A144&lt;&gt;1,"",IF(M150&gt;K150,"MEHR ALS DIE HÄLFTE DES MEHLANTEILS",""))</f>
        <v/>
      </c>
      <c r="N152" s="203"/>
      <c r="O152" s="203"/>
      <c r="P152" s="203"/>
      <c r="Q152" s="203"/>
      <c r="R152" s="124"/>
      <c r="S152" s="71"/>
      <c r="T152" s="82">
        <f>IF(L152&lt;&gt;"",L152,0)</f>
        <v>0</v>
      </c>
      <c r="U152" s="71"/>
      <c r="W152" s="71"/>
      <c r="X152" s="71"/>
      <c r="Y152" s="71"/>
      <c r="Z152" s="71"/>
      <c r="AA152" s="71"/>
      <c r="AD152" s="71"/>
      <c r="AP152" s="4"/>
      <c r="AQ152" s="54"/>
      <c r="AR152" s="44"/>
      <c r="AS152" s="32"/>
      <c r="AT152" s="4"/>
      <c r="AU152" s="4"/>
      <c r="AV152" s="4"/>
      <c r="AW152" s="55"/>
      <c r="AX152" s="56"/>
      <c r="AY152" s="34"/>
      <c r="AZ152" s="34"/>
      <c r="BA152" s="34"/>
      <c r="BB152" s="34"/>
      <c r="BC152" s="34"/>
      <c r="BD152" s="34"/>
      <c r="BE152" s="34"/>
      <c r="BF152" s="34"/>
      <c r="BG152" s="34"/>
      <c r="BH152" s="34"/>
      <c r="BI152" s="4"/>
      <c r="BJ152" s="4"/>
      <c r="BK152" s="4"/>
      <c r="BS152" s="66"/>
    </row>
    <row r="153" spans="1:151" ht="18" hidden="1" x14ac:dyDescent="0.2">
      <c r="A153" s="165">
        <f t="shared" si="9"/>
        <v>0</v>
      </c>
      <c r="B153" s="120"/>
      <c r="C153" s="225"/>
      <c r="D153" s="225"/>
      <c r="E153" s="225"/>
      <c r="F153" s="177"/>
      <c r="G153" s="218"/>
      <c r="H153" s="176"/>
      <c r="I153" s="188"/>
      <c r="J153" s="150"/>
      <c r="K153" s="188"/>
      <c r="L153" s="244" t="str">
        <f>IF(M150=0,"",IF(M150&lt;0.02,"RÜCKBROTMENGE REDUZIEREN",""))</f>
        <v/>
      </c>
      <c r="M153" s="244"/>
      <c r="N153" s="244"/>
      <c r="O153" s="244"/>
      <c r="P153" s="160"/>
      <c r="Q153" s="160"/>
      <c r="R153" s="63"/>
      <c r="S153" s="71"/>
      <c r="T153" s="71"/>
      <c r="U153" s="71"/>
      <c r="V153" s="17"/>
      <c r="W153" s="71"/>
      <c r="X153" s="71"/>
      <c r="Y153" s="71"/>
      <c r="Z153" s="71"/>
      <c r="AA153" s="71"/>
      <c r="AB153" s="17"/>
      <c r="AC153" s="17"/>
      <c r="AD153" s="71"/>
      <c r="AP153" s="4"/>
      <c r="AQ153" s="54"/>
      <c r="AR153" s="44"/>
      <c r="AS153" s="32"/>
      <c r="AT153" s="4"/>
      <c r="AU153" s="4"/>
      <c r="AV153" s="4"/>
      <c r="AW153" s="55"/>
      <c r="AX153" s="56"/>
      <c r="AY153" s="34"/>
      <c r="AZ153" s="34"/>
      <c r="BA153" s="34"/>
      <c r="BB153" s="34"/>
      <c r="BC153" s="34"/>
      <c r="BD153" s="34"/>
      <c r="BE153" s="34"/>
      <c r="BF153" s="34"/>
      <c r="BG153" s="34"/>
      <c r="BH153" s="34"/>
      <c r="BI153" s="4"/>
      <c r="BJ153" s="4"/>
      <c r="BK153" s="4"/>
      <c r="BL153" s="17"/>
      <c r="BM153" s="17"/>
      <c r="BN153" s="17"/>
      <c r="BO153" s="17"/>
      <c r="BP153" s="17"/>
      <c r="BQ153" s="17"/>
      <c r="BR153" s="17"/>
      <c r="BS153" s="66"/>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c r="DX153" s="17"/>
      <c r="DY153" s="17"/>
      <c r="DZ153" s="17"/>
      <c r="EA153" s="17"/>
      <c r="EB153" s="17"/>
      <c r="EC153" s="17"/>
      <c r="ED153" s="17"/>
      <c r="EE153" s="17"/>
      <c r="EF153" s="17"/>
      <c r="EG153" s="17"/>
      <c r="EH153" s="17"/>
      <c r="EI153" s="17"/>
      <c r="EJ153" s="17"/>
      <c r="EK153" s="17"/>
      <c r="EL153" s="17"/>
      <c r="EM153" s="17"/>
      <c r="EN153" s="17"/>
      <c r="EO153" s="17"/>
      <c r="EP153" s="17"/>
      <c r="EQ153" s="17"/>
      <c r="ER153" s="17"/>
      <c r="ES153" s="17"/>
      <c r="ET153" s="17"/>
      <c r="EU153" s="17"/>
    </row>
    <row r="154" spans="1:151" ht="18" hidden="1" x14ac:dyDescent="0.2">
      <c r="A154" s="165">
        <f t="shared" si="9"/>
        <v>0</v>
      </c>
      <c r="B154" s="121"/>
      <c r="C154" s="225"/>
      <c r="D154" s="225"/>
      <c r="E154" s="225" t="s">
        <v>2</v>
      </c>
      <c r="F154" s="225"/>
      <c r="G154" s="225"/>
      <c r="H154" s="225"/>
      <c r="I154" s="225"/>
      <c r="J154" s="225"/>
      <c r="K154" s="225"/>
      <c r="L154" s="225"/>
      <c r="M154" s="225"/>
      <c r="N154" s="225"/>
      <c r="O154" s="160"/>
      <c r="P154" s="160"/>
      <c r="Q154" s="160"/>
      <c r="R154" s="63"/>
      <c r="S154" s="17"/>
      <c r="T154" s="17"/>
      <c r="U154" s="17"/>
      <c r="V154" s="17"/>
      <c r="W154" s="71"/>
      <c r="X154" s="71"/>
      <c r="Y154" s="71"/>
      <c r="Z154" s="71"/>
      <c r="AA154" s="71"/>
      <c r="AB154" s="17"/>
      <c r="AC154" s="17"/>
      <c r="AD154" s="71"/>
      <c r="AE154" s="17"/>
      <c r="AF154" s="86"/>
      <c r="AG154" s="4"/>
      <c r="AH154" s="17"/>
      <c r="AI154" s="17"/>
      <c r="AJ154" s="17"/>
      <c r="AK154" s="17"/>
      <c r="AL154" s="17"/>
      <c r="AM154" s="17"/>
      <c r="AN154" s="17"/>
      <c r="AO154" s="17"/>
      <c r="AP154" s="4"/>
      <c r="AQ154" s="54"/>
      <c r="AR154" s="44"/>
      <c r="AS154" s="32"/>
      <c r="AT154" s="4"/>
      <c r="AU154" s="4"/>
      <c r="AV154" s="4"/>
      <c r="AW154" s="55"/>
      <c r="AX154" s="56"/>
      <c r="AY154" s="34"/>
      <c r="AZ154" s="34"/>
      <c r="BA154" s="34"/>
      <c r="BB154" s="34"/>
      <c r="BC154" s="34"/>
      <c r="BD154" s="34"/>
      <c r="BE154" s="34"/>
      <c r="BF154" s="34"/>
      <c r="BG154" s="34"/>
      <c r="BH154" s="34"/>
      <c r="BI154" s="4"/>
      <c r="BJ154" s="4"/>
      <c r="BK154" s="4"/>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17"/>
      <c r="EA154" s="17"/>
      <c r="EB154" s="17"/>
      <c r="EC154" s="17"/>
      <c r="ED154" s="17"/>
      <c r="EE154" s="17"/>
      <c r="EF154" s="17"/>
      <c r="EG154" s="17"/>
      <c r="EH154" s="17"/>
      <c r="EI154" s="17"/>
      <c r="EJ154" s="17"/>
      <c r="EK154" s="17"/>
      <c r="EL154" s="17"/>
      <c r="EM154" s="17"/>
      <c r="EN154" s="17"/>
      <c r="EO154" s="17"/>
      <c r="EP154" s="17"/>
      <c r="EQ154" s="17"/>
      <c r="ER154" s="17"/>
      <c r="ES154" s="17"/>
      <c r="ET154" s="17"/>
      <c r="EU154" s="17"/>
    </row>
    <row r="155" spans="1:151" ht="18" hidden="1" x14ac:dyDescent="0.2">
      <c r="A155" s="165">
        <f t="shared" si="9"/>
        <v>0</v>
      </c>
      <c r="B155" s="121"/>
      <c r="C155" s="176"/>
      <c r="D155" s="176"/>
      <c r="E155" s="225" t="s">
        <v>3</v>
      </c>
      <c r="F155" s="255"/>
      <c r="G155" s="160"/>
      <c r="H155" s="160"/>
      <c r="I155" s="188"/>
      <c r="J155" s="188"/>
      <c r="K155" s="188"/>
      <c r="L155" s="176"/>
      <c r="M155" s="160"/>
      <c r="N155" s="160"/>
      <c r="O155" s="160"/>
      <c r="P155" s="160"/>
      <c r="Q155" s="160"/>
      <c r="R155" s="63"/>
      <c r="S155" s="17"/>
      <c r="T155" s="17"/>
      <c r="U155" s="17"/>
      <c r="V155" s="17"/>
      <c r="W155" s="17"/>
      <c r="X155" s="17"/>
      <c r="Y155" s="17"/>
      <c r="Z155" s="17"/>
      <c r="AA155" s="17"/>
      <c r="AB155" s="17"/>
      <c r="AC155" s="17"/>
      <c r="AD155" s="17"/>
      <c r="AE155" s="17"/>
      <c r="AF155" s="17"/>
      <c r="AG155" s="4"/>
      <c r="AH155" s="17"/>
      <c r="AI155" s="17"/>
      <c r="AJ155" s="17"/>
      <c r="AK155" s="17"/>
      <c r="AL155" s="17"/>
      <c r="AM155" s="17"/>
      <c r="AN155" s="17"/>
      <c r="AO155" s="17"/>
      <c r="AP155" s="4"/>
      <c r="AQ155" s="54"/>
      <c r="AR155" s="44"/>
      <c r="AS155" s="32"/>
      <c r="AT155" s="4"/>
      <c r="AU155" s="4"/>
      <c r="AV155" s="4"/>
      <c r="AW155" s="55"/>
      <c r="AX155" s="56"/>
      <c r="AY155" s="34"/>
      <c r="AZ155" s="34"/>
      <c r="BA155" s="34"/>
      <c r="BB155" s="34"/>
      <c r="BC155" s="34"/>
      <c r="BD155" s="34"/>
      <c r="BE155" s="34"/>
      <c r="BF155" s="34"/>
      <c r="BG155" s="34"/>
      <c r="BH155" s="34"/>
      <c r="BI155" s="4"/>
      <c r="BJ155" s="4"/>
      <c r="BK155" s="4"/>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c r="DX155" s="17"/>
      <c r="DY155" s="17"/>
      <c r="DZ155" s="17"/>
      <c r="EA155" s="17"/>
      <c r="EB155" s="17"/>
      <c r="EC155" s="17"/>
      <c r="ED155" s="17"/>
      <c r="EE155" s="17"/>
      <c r="EF155" s="17"/>
      <c r="EG155" s="17"/>
      <c r="EH155" s="17"/>
      <c r="EI155" s="17"/>
      <c r="EJ155" s="17"/>
      <c r="EK155" s="17"/>
      <c r="EL155" s="17"/>
      <c r="EM155" s="17"/>
      <c r="EN155" s="17"/>
      <c r="EO155" s="17"/>
      <c r="EP155" s="17"/>
      <c r="EQ155" s="17"/>
      <c r="ER155" s="17"/>
      <c r="ES155" s="17"/>
      <c r="ET155" s="17"/>
      <c r="EU155" s="17"/>
    </row>
    <row r="156" spans="1:151" ht="6.75" hidden="1" customHeight="1" x14ac:dyDescent="0.2">
      <c r="A156" s="165">
        <f t="shared" si="9"/>
        <v>0</v>
      </c>
      <c r="B156" s="48"/>
      <c r="C156" s="160"/>
      <c r="D156" s="176"/>
      <c r="E156" s="176"/>
      <c r="F156" s="255"/>
      <c r="G156" s="160"/>
      <c r="H156" s="160"/>
      <c r="I156" s="188"/>
      <c r="J156" s="188"/>
      <c r="K156" s="188"/>
      <c r="L156" s="176"/>
      <c r="M156" s="160"/>
      <c r="N156" s="160"/>
      <c r="O156" s="160"/>
      <c r="P156" s="48"/>
      <c r="Q156" s="48"/>
      <c r="R156" s="63"/>
      <c r="S156" s="17"/>
      <c r="T156" s="17"/>
      <c r="U156" s="17"/>
      <c r="V156" s="17"/>
      <c r="W156" s="17"/>
      <c r="X156" s="17"/>
      <c r="Y156" s="17"/>
      <c r="Z156" s="17"/>
      <c r="AA156" s="17"/>
      <c r="AB156" s="17"/>
      <c r="AC156" s="17"/>
      <c r="AD156" s="17"/>
      <c r="AE156" s="17"/>
      <c r="AF156" s="86"/>
      <c r="AG156" s="4"/>
      <c r="AH156" s="17"/>
      <c r="AI156" s="17"/>
      <c r="AJ156" s="17"/>
      <c r="AK156" s="17"/>
      <c r="AL156" s="17"/>
      <c r="AM156" s="17"/>
      <c r="AN156" s="17"/>
      <c r="AO156" s="17"/>
      <c r="AP156" s="4"/>
      <c r="AQ156" s="54"/>
      <c r="AR156" s="44"/>
      <c r="AS156" s="32"/>
      <c r="AT156" s="4"/>
      <c r="AU156" s="4"/>
      <c r="AV156" s="4"/>
      <c r="AW156" s="55"/>
      <c r="AX156" s="56"/>
      <c r="AY156" s="34"/>
      <c r="AZ156" s="34"/>
      <c r="BA156" s="34"/>
      <c r="BB156" s="34"/>
      <c r="BC156" s="34"/>
      <c r="BD156" s="34"/>
      <c r="BE156" s="34"/>
      <c r="BF156" s="34"/>
      <c r="BG156" s="34"/>
      <c r="BH156" s="34"/>
      <c r="BI156" s="4"/>
      <c r="BJ156" s="4"/>
      <c r="BK156" s="4"/>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7"/>
    </row>
    <row r="157" spans="1:151" ht="6" customHeight="1" x14ac:dyDescent="0.2">
      <c r="A157" s="63"/>
      <c r="B157" s="63"/>
      <c r="C157" s="63"/>
      <c r="D157" s="63"/>
      <c r="E157" s="63"/>
      <c r="F157" s="63"/>
      <c r="G157" s="63"/>
      <c r="H157" s="63"/>
      <c r="I157" s="63"/>
      <c r="J157" s="63"/>
      <c r="K157" s="63"/>
      <c r="L157" s="63"/>
      <c r="M157" s="63"/>
      <c r="N157" s="63"/>
      <c r="O157" s="63"/>
      <c r="P157" s="63"/>
      <c r="Q157" s="63"/>
      <c r="R157" s="63"/>
      <c r="AP157" s="4"/>
      <c r="AQ157" s="54"/>
      <c r="AR157" s="44"/>
      <c r="AS157" s="32"/>
      <c r="AT157" s="4"/>
      <c r="AU157" s="4"/>
      <c r="AV157" s="4"/>
      <c r="AW157" s="55"/>
      <c r="AX157" s="56"/>
      <c r="AY157" s="34"/>
      <c r="AZ157" s="34"/>
      <c r="BA157" s="34"/>
      <c r="BB157" s="34"/>
      <c r="BC157" s="34"/>
      <c r="BD157" s="34"/>
      <c r="BE157" s="34"/>
      <c r="BF157" s="34"/>
      <c r="BG157" s="34"/>
      <c r="BH157" s="34"/>
      <c r="BI157" s="4"/>
      <c r="BJ157" s="4"/>
      <c r="BK157" s="4"/>
    </row>
    <row r="158" spans="1:151" ht="18" x14ac:dyDescent="0.2">
      <c r="A158" s="143"/>
      <c r="B158" s="152"/>
      <c r="C158" s="152"/>
      <c r="D158" s="152"/>
      <c r="E158" s="152"/>
      <c r="F158" s="152"/>
      <c r="G158" s="152"/>
      <c r="H158" s="152"/>
      <c r="I158" s="152"/>
      <c r="J158" s="152"/>
      <c r="K158" s="152"/>
      <c r="L158" s="152"/>
      <c r="M158" s="159"/>
      <c r="N158" s="152"/>
      <c r="O158" s="152"/>
      <c r="P158" s="152"/>
      <c r="Q158" s="152"/>
      <c r="R158" s="152"/>
      <c r="AP158" s="4"/>
      <c r="AQ158" s="54"/>
      <c r="AR158" s="44"/>
      <c r="AS158" s="32"/>
      <c r="AT158" s="4"/>
      <c r="AU158" s="4"/>
      <c r="AV158" s="4"/>
      <c r="AW158" s="55"/>
      <c r="AX158" s="56"/>
      <c r="AY158" s="34"/>
      <c r="AZ158" s="34"/>
      <c r="BA158" s="34"/>
      <c r="BB158" s="34"/>
      <c r="BC158" s="34"/>
      <c r="BD158" s="34"/>
      <c r="BE158" s="34"/>
      <c r="BF158" s="34"/>
      <c r="BG158" s="34"/>
      <c r="BH158" s="34"/>
      <c r="BI158" s="4"/>
      <c r="BJ158" s="4"/>
      <c r="BK158" s="4"/>
    </row>
    <row r="159" spans="1:151" ht="48" customHeight="1" x14ac:dyDescent="0.2">
      <c r="A159" s="143"/>
      <c r="B159" s="152"/>
      <c r="C159" s="152"/>
      <c r="D159" s="152"/>
      <c r="E159" s="152"/>
      <c r="F159" s="152"/>
      <c r="G159" s="152"/>
      <c r="H159" s="152"/>
      <c r="I159" s="152"/>
      <c r="J159" s="152"/>
      <c r="K159" s="152"/>
      <c r="L159" s="152"/>
      <c r="M159" s="152"/>
      <c r="N159" s="256" t="s">
        <v>107</v>
      </c>
      <c r="O159" s="152"/>
      <c r="P159" s="152"/>
      <c r="Q159" s="152"/>
      <c r="R159" s="152"/>
      <c r="AP159" s="4"/>
      <c r="AQ159" s="54"/>
      <c r="AR159" s="44"/>
      <c r="AS159" s="32"/>
      <c r="AT159" s="4"/>
      <c r="AU159" s="4"/>
      <c r="AV159" s="4"/>
      <c r="AW159" s="55"/>
      <c r="AX159" s="56"/>
      <c r="AY159" s="34"/>
      <c r="AZ159" s="34"/>
      <c r="BA159" s="34"/>
      <c r="BB159" s="34"/>
      <c r="BC159" s="34"/>
      <c r="BD159" s="34"/>
      <c r="BE159" s="34"/>
      <c r="BF159" s="34"/>
      <c r="BG159" s="34"/>
      <c r="BH159" s="34"/>
      <c r="BI159" s="4"/>
      <c r="BJ159" s="4"/>
      <c r="BK159" s="4"/>
    </row>
    <row r="160" spans="1:151" ht="18" x14ac:dyDescent="0.2">
      <c r="A160" s="143"/>
      <c r="B160" s="152"/>
      <c r="C160" s="152"/>
      <c r="D160" s="152"/>
      <c r="E160" s="152"/>
      <c r="F160" s="152"/>
      <c r="G160" s="152"/>
      <c r="H160" s="152"/>
      <c r="I160" s="152"/>
      <c r="J160" s="152"/>
      <c r="K160" s="152"/>
      <c r="L160" s="152"/>
      <c r="M160" s="152"/>
      <c r="N160" s="152"/>
      <c r="O160" s="152"/>
      <c r="P160" s="152"/>
      <c r="Q160" s="152"/>
      <c r="R160" s="152"/>
      <c r="AP160" s="4"/>
      <c r="AQ160" s="54"/>
      <c r="AR160" s="44"/>
      <c r="AS160" s="32"/>
      <c r="AT160" s="4"/>
      <c r="AU160" s="4"/>
      <c r="AV160" s="4"/>
      <c r="AW160" s="55"/>
      <c r="AX160" s="56"/>
      <c r="AY160" s="34"/>
      <c r="AZ160" s="34"/>
      <c r="BA160" s="34"/>
      <c r="BB160" s="34"/>
      <c r="BC160" s="34"/>
      <c r="BD160" s="34"/>
      <c r="BE160" s="34"/>
      <c r="BF160" s="34"/>
      <c r="BG160" s="34"/>
      <c r="BH160" s="34"/>
      <c r="BI160" s="4"/>
      <c r="BJ160" s="4"/>
      <c r="BK160" s="4"/>
    </row>
    <row r="161" spans="1:63" ht="18" hidden="1" x14ac:dyDescent="0.2">
      <c r="A161" s="1"/>
      <c r="B161" s="40"/>
      <c r="C161" s="40"/>
      <c r="D161" s="40"/>
      <c r="E161" s="40"/>
      <c r="F161" s="40"/>
      <c r="G161" s="40"/>
      <c r="H161" s="40"/>
      <c r="I161" s="40"/>
      <c r="J161" s="40"/>
      <c r="K161" s="40"/>
      <c r="L161" s="40"/>
      <c r="M161" s="40"/>
      <c r="N161" s="40"/>
      <c r="O161" s="40"/>
      <c r="P161" s="40"/>
      <c r="Q161" s="40"/>
      <c r="R161" s="40"/>
      <c r="AP161" s="4"/>
      <c r="AQ161" s="54"/>
      <c r="AR161" s="44"/>
      <c r="AS161" s="32"/>
      <c r="AT161" s="4"/>
      <c r="AU161" s="4"/>
      <c r="AV161" s="4"/>
      <c r="AW161" s="55"/>
      <c r="AX161" s="56"/>
      <c r="AY161" s="34"/>
      <c r="AZ161" s="34"/>
      <c r="BA161" s="34"/>
      <c r="BB161" s="34"/>
      <c r="BC161" s="34"/>
      <c r="BD161" s="34"/>
      <c r="BE161" s="34"/>
      <c r="BF161" s="34"/>
      <c r="BG161" s="34"/>
      <c r="BH161" s="34"/>
      <c r="BI161" s="4"/>
      <c r="BJ161" s="4"/>
      <c r="BK161" s="4"/>
    </row>
    <row r="162" spans="1:63" hidden="1" x14ac:dyDescent="0.2">
      <c r="A162" s="1"/>
      <c r="B162" s="40"/>
      <c r="C162" s="40"/>
      <c r="D162" s="40"/>
      <c r="E162" s="40"/>
      <c r="F162" s="40"/>
      <c r="G162" s="40"/>
      <c r="H162" s="40"/>
      <c r="I162" s="40"/>
      <c r="J162" s="40"/>
      <c r="K162" s="40"/>
      <c r="L162" s="40"/>
      <c r="M162" s="40"/>
      <c r="N162" s="40"/>
      <c r="O162" s="40"/>
      <c r="P162" s="40"/>
      <c r="Q162" s="40"/>
      <c r="R162" s="40"/>
    </row>
    <row r="163" spans="1:63" hidden="1" x14ac:dyDescent="0.2">
      <c r="A163" s="1"/>
      <c r="B163" s="40"/>
      <c r="C163" s="40"/>
      <c r="D163" s="40"/>
      <c r="E163" s="40"/>
      <c r="F163" s="40"/>
      <c r="G163" s="40"/>
      <c r="H163" s="40"/>
      <c r="I163" s="40"/>
      <c r="J163" s="40"/>
      <c r="K163" s="40"/>
      <c r="L163" s="40"/>
      <c r="M163" s="40"/>
      <c r="N163" s="40"/>
      <c r="O163" s="40"/>
      <c r="P163" s="40"/>
      <c r="Q163" s="40"/>
      <c r="R163" s="40"/>
    </row>
    <row r="164" spans="1:63" hidden="1" x14ac:dyDescent="0.2">
      <c r="A164" s="40"/>
      <c r="B164" s="40"/>
      <c r="C164" s="40"/>
      <c r="D164" s="40"/>
      <c r="E164" s="40"/>
      <c r="F164" s="40"/>
      <c r="G164" s="40"/>
      <c r="H164" s="40"/>
      <c r="I164" s="40"/>
      <c r="J164" s="40"/>
      <c r="K164" s="40"/>
      <c r="L164" s="40"/>
      <c r="M164" s="40"/>
      <c r="N164" s="40"/>
      <c r="O164" s="40"/>
      <c r="P164" s="40"/>
      <c r="Q164" s="40"/>
      <c r="R164" s="40"/>
    </row>
    <row r="165" spans="1:63" hidden="1" x14ac:dyDescent="0.2">
      <c r="A165" s="40"/>
      <c r="B165" s="40"/>
      <c r="C165" s="40"/>
      <c r="D165" s="40"/>
      <c r="E165" s="40"/>
      <c r="F165" s="40"/>
      <c r="G165" s="40"/>
      <c r="H165" s="40"/>
      <c r="I165" s="40"/>
      <c r="J165" s="40"/>
      <c r="K165" s="40"/>
      <c r="L165" s="40"/>
      <c r="M165" s="40"/>
      <c r="N165" s="40"/>
      <c r="O165" s="40"/>
      <c r="P165" s="40"/>
      <c r="Q165" s="40"/>
      <c r="R165" s="40"/>
    </row>
    <row r="166" spans="1:63" hidden="1" x14ac:dyDescent="0.2">
      <c r="A166" s="40"/>
      <c r="B166" s="40"/>
      <c r="C166" s="40"/>
      <c r="D166" s="40"/>
      <c r="E166" s="40"/>
      <c r="F166" s="40"/>
      <c r="G166" s="40"/>
      <c r="H166" s="40"/>
      <c r="I166" s="40"/>
      <c r="J166" s="40"/>
      <c r="K166" s="40"/>
      <c r="L166" s="40"/>
      <c r="M166" s="40"/>
      <c r="N166" s="40"/>
      <c r="O166" s="40"/>
      <c r="P166" s="40"/>
      <c r="Q166" s="40"/>
      <c r="R166" s="40"/>
    </row>
    <row r="167" spans="1:63" hidden="1" x14ac:dyDescent="0.2">
      <c r="A167" s="40"/>
      <c r="B167" s="40"/>
      <c r="C167" s="40"/>
      <c r="D167" s="40"/>
      <c r="E167" s="40"/>
      <c r="F167" s="40"/>
      <c r="G167" s="40"/>
      <c r="H167" s="40"/>
      <c r="I167" s="40"/>
      <c r="J167" s="40"/>
      <c r="K167" s="40"/>
      <c r="L167" s="40"/>
      <c r="M167" s="40"/>
      <c r="N167" s="40"/>
      <c r="O167" s="40"/>
      <c r="P167" s="40"/>
      <c r="Q167" s="40"/>
      <c r="R167" s="40"/>
    </row>
    <row r="168" spans="1:63" hidden="1" x14ac:dyDescent="0.2">
      <c r="A168" s="40"/>
      <c r="B168" s="40"/>
      <c r="C168" s="40"/>
      <c r="D168" s="40"/>
      <c r="E168" s="40"/>
      <c r="F168" s="40"/>
      <c r="G168" s="40"/>
      <c r="H168" s="40"/>
      <c r="I168" s="40"/>
      <c r="J168" s="40"/>
      <c r="K168" s="40"/>
      <c r="L168" s="40"/>
      <c r="M168" s="40"/>
      <c r="N168" s="40"/>
      <c r="O168" s="40"/>
      <c r="P168" s="40"/>
      <c r="Q168" s="40"/>
      <c r="R168" s="40"/>
    </row>
    <row r="169" spans="1:63" hidden="1" x14ac:dyDescent="0.2">
      <c r="A169" s="40"/>
      <c r="B169" s="40"/>
      <c r="C169" s="40"/>
      <c r="D169" s="40"/>
      <c r="E169" s="40"/>
      <c r="F169" s="40"/>
      <c r="G169" s="40"/>
      <c r="H169" s="40"/>
      <c r="I169" s="40"/>
      <c r="J169" s="40"/>
      <c r="K169" s="40"/>
      <c r="L169" s="40"/>
      <c r="M169" s="40"/>
      <c r="N169" s="40"/>
      <c r="O169" s="40"/>
      <c r="P169" s="40"/>
      <c r="Q169" s="40"/>
      <c r="R169" s="40"/>
    </row>
  </sheetData>
  <sheetProtection algorithmName="SHA-512" hashValue="u+am7O6BbPspw+cNODDWkGZo0kxltFaA/H+7dheb/x6avL31GJd8BonaCzw3u5SjM7+BcB/5tL4EsVq9VQmAVw==" saltValue="hN/kZ4wnCyHR2eZ/8rj+iw==" spinCount="100000" sheet="1" objects="1" scenarios="1" autoFilter="0"/>
  <autoFilter ref="A16:A156">
    <filterColumn colId="0">
      <filters>
        <filter val="1"/>
      </filters>
    </filterColumn>
  </autoFilter>
  <mergeCells count="53">
    <mergeCell ref="B17:B18"/>
    <mergeCell ref="B49:B50"/>
    <mergeCell ref="B65:B66"/>
    <mergeCell ref="O22:P22"/>
    <mergeCell ref="L95:N95"/>
    <mergeCell ref="O42:P42"/>
    <mergeCell ref="O70:P70"/>
    <mergeCell ref="O86:P86"/>
    <mergeCell ref="O72:P72"/>
    <mergeCell ref="O54:P54"/>
    <mergeCell ref="O84:P84"/>
    <mergeCell ref="B79:B80"/>
    <mergeCell ref="O58:P58"/>
    <mergeCell ref="O56:P56"/>
    <mergeCell ref="O40:P40"/>
    <mergeCell ref="B93:B100"/>
    <mergeCell ref="K98:L98"/>
    <mergeCell ref="B33:B34"/>
    <mergeCell ref="G97:H97"/>
    <mergeCell ref="G98:H98"/>
    <mergeCell ref="K97:L97"/>
    <mergeCell ref="B143:B144"/>
    <mergeCell ref="B126:B141"/>
    <mergeCell ref="I106:J106"/>
    <mergeCell ref="H114:I114"/>
    <mergeCell ref="J128:K128"/>
    <mergeCell ref="K106:L106"/>
    <mergeCell ref="K113:L113"/>
    <mergeCell ref="J129:K129"/>
    <mergeCell ref="B111:B124"/>
    <mergeCell ref="K114:L114"/>
    <mergeCell ref="B102:B109"/>
    <mergeCell ref="G106:H106"/>
    <mergeCell ref="I105:J105"/>
    <mergeCell ref="G105:H105"/>
    <mergeCell ref="G129:I129"/>
    <mergeCell ref="D114:E114"/>
    <mergeCell ref="D129:E129"/>
    <mergeCell ref="C2:P2"/>
    <mergeCell ref="I13:L14"/>
    <mergeCell ref="B7:J7"/>
    <mergeCell ref="I9:J9"/>
    <mergeCell ref="E12:F12"/>
    <mergeCell ref="J12:K12"/>
    <mergeCell ref="L7:O7"/>
    <mergeCell ref="K9:N9"/>
    <mergeCell ref="L103:N103"/>
    <mergeCell ref="K105:L105"/>
    <mergeCell ref="I98:J98"/>
    <mergeCell ref="O24:P24"/>
    <mergeCell ref="O38:P38"/>
    <mergeCell ref="O26:P26"/>
    <mergeCell ref="I97:J97"/>
  </mergeCells>
  <phoneticPr fontId="2" type="noConversion"/>
  <conditionalFormatting sqref="AC3 AR1:AS2 AQ4:AR4">
    <cfRule type="expression" dxfId="60" priority="6" stopIfTrue="1">
      <formula>#REF!="ayahua"</formula>
    </cfRule>
  </conditionalFormatting>
  <conditionalFormatting sqref="I13:L14">
    <cfRule type="expression" dxfId="59" priority="7" stopIfTrue="1">
      <formula>$T$15&gt;50%</formula>
    </cfRule>
  </conditionalFormatting>
  <conditionalFormatting sqref="U146 U127 U113 U104 U96 U82 U68 U52 U36 U19:U22 V15:V16 W13:W22 S6 S15:T22 U7:U17 Z13:Z16 R1:R2 R4:R14">
    <cfRule type="expression" dxfId="58" priority="8" stopIfTrue="1">
      <formula>$S$200="SOLLMENGE"</formula>
    </cfRule>
  </conditionalFormatting>
  <conditionalFormatting sqref="M117">
    <cfRule type="expression" dxfId="57" priority="9" stopIfTrue="1">
      <formula>$N$117=""</formula>
    </cfRule>
  </conditionalFormatting>
  <conditionalFormatting sqref="V1:V2 AA13:AA15">
    <cfRule type="expression" dxfId="56" priority="10" stopIfTrue="1">
      <formula>$AA$198=FALSE</formula>
    </cfRule>
  </conditionalFormatting>
  <conditionalFormatting sqref="J95">
    <cfRule type="expression" dxfId="55" priority="11" stopIfTrue="1">
      <formula>#REF!&lt;&gt;""</formula>
    </cfRule>
  </conditionalFormatting>
  <conditionalFormatting sqref="F155:F156">
    <cfRule type="cellIs" dxfId="54" priority="12" stopIfTrue="1" operator="greaterThan">
      <formula>0</formula>
    </cfRule>
  </conditionalFormatting>
  <conditionalFormatting sqref="H125 B64 B32 B16">
    <cfRule type="cellIs" dxfId="53" priority="13" stopIfTrue="1" operator="equal">
      <formula>"Langer Vollsauer (über Nacht)"</formula>
    </cfRule>
    <cfRule type="cellIs" dxfId="52" priority="14" stopIfTrue="1" operator="equal">
      <formula>"Langer Grundsauer (über Nacht)"</formula>
    </cfRule>
  </conditionalFormatting>
  <conditionalFormatting sqref="G54">
    <cfRule type="cellIs" dxfId="51" priority="15" stopIfTrue="1" operator="notBetween">
      <formula>0.208333333333333</formula>
      <formula>0.25</formula>
    </cfRule>
  </conditionalFormatting>
  <conditionalFormatting sqref="G58 G71 G73 G86">
    <cfRule type="cellIs" dxfId="50" priority="16" stopIfTrue="1" operator="notBetween">
      <formula>0.125</formula>
      <formula>0.166666666666667</formula>
    </cfRule>
  </conditionalFormatting>
  <conditionalFormatting sqref="G56 G68:G69">
    <cfRule type="cellIs" dxfId="49" priority="17" stopIfTrue="1" operator="notBetween">
      <formula>0.625</formula>
      <formula>1.001</formula>
    </cfRule>
  </conditionalFormatting>
  <conditionalFormatting sqref="G70 G84">
    <cfRule type="cellIs" dxfId="48" priority="18" stopIfTrue="1" operator="notBetween">
      <formula>0.625</formula>
      <formula>1</formula>
    </cfRule>
  </conditionalFormatting>
  <conditionalFormatting sqref="G72">
    <cfRule type="cellIs" dxfId="47" priority="19" stopIfTrue="1" operator="notBetween">
      <formula>0.104166666666667</formula>
      <formula>0.145833333333333</formula>
    </cfRule>
  </conditionalFormatting>
  <conditionalFormatting sqref="G38">
    <cfRule type="cellIs" dxfId="46" priority="20" stopIfTrue="1" operator="notBetween">
      <formula>0.208333333333333</formula>
      <formula>0.333333333333333</formula>
    </cfRule>
  </conditionalFormatting>
  <conditionalFormatting sqref="G43 G27 D28">
    <cfRule type="cellIs" dxfId="45" priority="21" stopIfTrue="1" operator="notBetween">
      <formula>0.1249</formula>
      <formula>0.16667</formula>
    </cfRule>
  </conditionalFormatting>
  <conditionalFormatting sqref="G22:G23">
    <cfRule type="cellIs" dxfId="44" priority="22" stopIfTrue="1" operator="notBetween">
      <formula>0.208</formula>
      <formula>0.334</formula>
    </cfRule>
  </conditionalFormatting>
  <conditionalFormatting sqref="G24:G25">
    <cfRule type="cellIs" dxfId="43" priority="23" stopIfTrue="1" operator="notBetween">
      <formula>0.31249</formula>
      <formula>0.416667</formula>
    </cfRule>
  </conditionalFormatting>
  <conditionalFormatting sqref="G40">
    <cfRule type="cellIs" dxfId="42" priority="24" stopIfTrue="1" operator="notBetween">
      <formula>0.229166666666667</formula>
      <formula>0.270833333333333</formula>
    </cfRule>
  </conditionalFormatting>
  <conditionalFormatting sqref="G42">
    <cfRule type="cellIs" dxfId="41" priority="25" stopIfTrue="1" operator="notBetween">
      <formula>0.333333333333333</formula>
      <formula>0.416666666666667</formula>
    </cfRule>
  </conditionalFormatting>
  <conditionalFormatting sqref="G26">
    <cfRule type="cellIs" dxfId="40" priority="26" stopIfTrue="1" operator="notBetween">
      <formula>0.1249</formula>
      <formula>0.1667</formula>
    </cfRule>
  </conditionalFormatting>
  <conditionalFormatting sqref="N82:N86 M82:M83 M85:M86 I82:L86">
    <cfRule type="expression" dxfId="39" priority="27" stopIfTrue="1">
      <formula>$E$281&lt;&gt;""</formula>
    </cfRule>
  </conditionalFormatting>
  <conditionalFormatting sqref="I20:N26 M42 M58 M84 M70 J99 M150">
    <cfRule type="expression" dxfId="38" priority="28" stopIfTrue="1">
      <formula>$E$221="ZEITEN EINGEBEN"</formula>
    </cfRule>
  </conditionalFormatting>
  <conditionalFormatting sqref="I36:L42 N36:N42 M36:M41">
    <cfRule type="expression" dxfId="37" priority="29" stopIfTrue="1">
      <formula>$E$237="ZEITEN EINGEBEN"</formula>
    </cfRule>
  </conditionalFormatting>
  <conditionalFormatting sqref="N137 D93:D94 C64 C32 C16 B78:C78">
    <cfRule type="cellIs" dxfId="36" priority="30" stopIfTrue="1" operator="equal">
      <formula>"Langer Vollsauer (über Nacht)"</formula>
    </cfRule>
  </conditionalFormatting>
  <conditionalFormatting sqref="O54">
    <cfRule type="expression" dxfId="35" priority="31" stopIfTrue="1">
      <formula>$G$54&lt;0.20833</formula>
    </cfRule>
    <cfRule type="expression" dxfId="34" priority="32" stopIfTrue="1">
      <formula>$G$54&gt;0.25</formula>
    </cfRule>
  </conditionalFormatting>
  <conditionalFormatting sqref="O56">
    <cfRule type="expression" dxfId="33" priority="33" stopIfTrue="1">
      <formula>$G$56&lt;0.625</formula>
    </cfRule>
    <cfRule type="expression" dxfId="32" priority="34" stopIfTrue="1">
      <formula>$G$56&gt;1</formula>
    </cfRule>
  </conditionalFormatting>
  <conditionalFormatting sqref="O84:P84">
    <cfRule type="expression" dxfId="31" priority="35" stopIfTrue="1">
      <formula>$G$84&lt;0.625</formula>
    </cfRule>
    <cfRule type="expression" dxfId="30" priority="36" stopIfTrue="1">
      <formula>$G$84&gt;1</formula>
    </cfRule>
  </conditionalFormatting>
  <conditionalFormatting sqref="O86:P86">
    <cfRule type="expression" dxfId="29" priority="37" stopIfTrue="1">
      <formula>$G$86&lt;0.125</formula>
    </cfRule>
    <cfRule type="expression" dxfId="28" priority="38" stopIfTrue="1">
      <formula>$G$86&gt;0.16667</formula>
    </cfRule>
  </conditionalFormatting>
  <conditionalFormatting sqref="O22">
    <cfRule type="expression" dxfId="27" priority="39" stopIfTrue="1">
      <formula>$G$22&lt;0.20833</formula>
    </cfRule>
    <cfRule type="expression" dxfId="26" priority="40" stopIfTrue="1">
      <formula>$G$22&gt;0.33334</formula>
    </cfRule>
  </conditionalFormatting>
  <conditionalFormatting sqref="O26">
    <cfRule type="expression" dxfId="25" priority="41" stopIfTrue="1">
      <formula>$G$26&lt;0.125</formula>
    </cfRule>
    <cfRule type="expression" dxfId="24" priority="42" stopIfTrue="1">
      <formula>$G$26&gt;0.16667</formula>
    </cfRule>
  </conditionalFormatting>
  <conditionalFormatting sqref="O24">
    <cfRule type="expression" dxfId="23" priority="43" stopIfTrue="1">
      <formula>$G$24&lt;0.3125</formula>
    </cfRule>
    <cfRule type="expression" dxfId="22" priority="44" stopIfTrue="1">
      <formula>$G$24&gt;0.41667</formula>
    </cfRule>
  </conditionalFormatting>
  <conditionalFormatting sqref="O38">
    <cfRule type="expression" dxfId="21" priority="45" stopIfTrue="1">
      <formula>$G$38&lt;0.20833</formula>
    </cfRule>
    <cfRule type="expression" dxfId="20" priority="46" stopIfTrue="1">
      <formula>$G$38&gt;0.33334</formula>
    </cfRule>
  </conditionalFormatting>
  <conditionalFormatting sqref="O70:Q70">
    <cfRule type="expression" dxfId="19" priority="47" stopIfTrue="1">
      <formula>$G$70&lt;0.625</formula>
    </cfRule>
    <cfRule type="expression" dxfId="18" priority="48" stopIfTrue="1">
      <formula>$G$70&gt;1</formula>
    </cfRule>
  </conditionalFormatting>
  <conditionalFormatting sqref="O72:Q72">
    <cfRule type="expression" dxfId="17" priority="49" stopIfTrue="1">
      <formula>$G$72&lt;0.1041</formula>
    </cfRule>
    <cfRule type="expression" dxfId="16" priority="50" stopIfTrue="1">
      <formula>$G$72&gt;0.1459</formula>
    </cfRule>
  </conditionalFormatting>
  <conditionalFormatting sqref="O58:Q58">
    <cfRule type="expression" dxfId="15" priority="51" stopIfTrue="1">
      <formula>$G$58&lt;0.125</formula>
    </cfRule>
    <cfRule type="expression" dxfId="14" priority="52" stopIfTrue="1">
      <formula>$G$58&gt;0.16667</formula>
    </cfRule>
  </conditionalFormatting>
  <conditionalFormatting sqref="I106:J106">
    <cfRule type="expression" dxfId="13" priority="53" stopIfTrue="1">
      <formula>$I$289&gt;$G$289</formula>
    </cfRule>
  </conditionalFormatting>
  <conditionalFormatting sqref="G15">
    <cfRule type="expression" dxfId="12" priority="54" stopIfTrue="1">
      <formula>$AU$198&gt;100</formula>
    </cfRule>
  </conditionalFormatting>
  <conditionalFormatting sqref="O42:P42">
    <cfRule type="expression" dxfId="11" priority="55" stopIfTrue="1">
      <formula>$G$42&lt;0.333333</formula>
    </cfRule>
    <cfRule type="expression" dxfId="10" priority="56" stopIfTrue="1">
      <formula>$G$42&gt;0.41667</formula>
    </cfRule>
  </conditionalFormatting>
  <conditionalFormatting sqref="O40:P40">
    <cfRule type="expression" dxfId="9" priority="57" stopIfTrue="1">
      <formula>$G$40&lt;0.2292</formula>
    </cfRule>
    <cfRule type="expression" dxfId="8" priority="58" stopIfTrue="1">
      <formula>$G$40&gt;0.27083</formula>
    </cfRule>
  </conditionalFormatting>
  <conditionalFormatting sqref="O95">
    <cfRule type="expression" dxfId="7" priority="59" stopIfTrue="1">
      <formula>$L$95=""</formula>
    </cfRule>
  </conditionalFormatting>
  <conditionalFormatting sqref="O103">
    <cfRule type="expression" dxfId="6" priority="60" stopIfTrue="1">
      <formula>$L$103=""</formula>
    </cfRule>
  </conditionalFormatting>
  <conditionalFormatting sqref="K103">
    <cfRule type="expression" dxfId="5" priority="61" stopIfTrue="1">
      <formula>$L$103=""</formula>
    </cfRule>
  </conditionalFormatting>
  <conditionalFormatting sqref="K119">
    <cfRule type="cellIs" dxfId="4" priority="5" stopIfTrue="1" operator="equal">
      <formula>"Langer Vollsauer (über Nacht)"</formula>
    </cfRule>
  </conditionalFormatting>
  <conditionalFormatting sqref="K95">
    <cfRule type="expression" dxfId="3" priority="4" stopIfTrue="1">
      <formula>$L$103=""</formula>
    </cfRule>
  </conditionalFormatting>
  <conditionalFormatting sqref="H114:I114 N114">
    <cfRule type="expression" dxfId="2" priority="3" stopIfTrue="1">
      <formula>$K$119=""</formula>
    </cfRule>
  </conditionalFormatting>
  <conditionalFormatting sqref="N131">
    <cfRule type="cellIs" dxfId="1" priority="2" stopIfTrue="1" operator="equal">
      <formula>"Langer Vollsauer (über Nacht)"</formula>
    </cfRule>
  </conditionalFormatting>
  <conditionalFormatting sqref="G129:I129 L129 N129">
    <cfRule type="expression" dxfId="0" priority="1" stopIfTrue="1">
      <formula>$N$131=""</formula>
    </cfRule>
  </conditionalFormatting>
  <dataValidations count="6">
    <dataValidation type="time" allowBlank="1" showInputMessage="1" showErrorMessage="1" errorTitle="ZEITEINGABE" error="BITTE GEBEN SIE STUNDE UND MINUTE, MIT EINEM DOPPELPUNKT GETRENNT, EIN." sqref="F84 E103 E88 E86 E152">
      <formula1>0</formula1>
      <formula2>0.999305555555556</formula2>
    </dataValidation>
    <dataValidation type="list" allowBlank="1" showInputMessage="1" showErrorMessage="1" sqref="T6:V6">
      <formula1>$AE$552:$AE$558</formula1>
    </dataValidation>
    <dataValidation type="list" allowBlank="1" showInputMessage="1" showErrorMessage="1" sqref="L103:N103">
      <formula1>$W$11:$W$12</formula1>
    </dataValidation>
    <dataValidation type="list" allowBlank="1" showInputMessage="1" showErrorMessage="1" sqref="L95:N95">
      <formula1>$V$11:$V$13</formula1>
    </dataValidation>
    <dataValidation type="list" allowBlank="1" showInputMessage="1" showErrorMessage="1" sqref="B7">
      <formula1>$AA$4:$AA$12</formula1>
    </dataValidation>
    <dataValidation allowBlank="1" showInputMessage="1" showErrorMessage="1" errorTitle="korrekte TA eingeben" error="der eingegebene Wert kann nicht stimmen" sqref="K119 N131"/>
  </dataValidations>
  <pageMargins left="0.53" right="0.2" top="0.24" bottom="0.24" header="0.17" footer="0.17"/>
  <pageSetup paperSize="9" scale="86" orientation="landscape" horizontalDpi="36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9</vt:i4>
      </vt:variant>
    </vt:vector>
  </HeadingPairs>
  <TitlesOfParts>
    <vt:vector size="10" baseType="lpstr">
      <vt:lpstr>Sauerteig-Rechner</vt:lpstr>
      <vt:lpstr>arrRSAUERFÜHRUNG</vt:lpstr>
      <vt:lpstr>arrSAUERta</vt:lpstr>
      <vt:lpstr>'Sauerteig-Rechner'!Druckbereich</vt:lpstr>
      <vt:lpstr>RSA_TA_nachführung</vt:lpstr>
      <vt:lpstr>RSAnachführung</vt:lpstr>
      <vt:lpstr>SAUERKÜRZEL</vt:lpstr>
      <vt:lpstr>SäuregradedesSauers</vt:lpstr>
      <vt:lpstr>SRjeKGmehl</vt:lpstr>
      <vt:lpstr>TAdesSauers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Messemer</dc:creator>
  <cp:lastModifiedBy>Messemer</cp:lastModifiedBy>
  <cp:lastPrinted>2016-09-11T19:52:31Z</cp:lastPrinted>
  <dcterms:created xsi:type="dcterms:W3CDTF">2002-12-24T11:44:34Z</dcterms:created>
  <dcterms:modified xsi:type="dcterms:W3CDTF">2016-11-23T19:40:42Z</dcterms:modified>
</cp:coreProperties>
</file>